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Regulatory Counsel\Private\2024 UNSG Rate Case\_UNSG ARAM\2026\Workpapers\"/>
    </mc:Choice>
  </mc:AlternateContent>
  <xr:revisionPtr revIDLastSave="0" documentId="13_ncr:1_{46732830-BAB3-4250-9232-87562CCFD486}" xr6:coauthVersionLast="47" xr6:coauthVersionMax="47" xr10:uidLastSave="{00000000-0000-0000-0000-000000000000}"/>
  <bookViews>
    <workbookView xWindow="28680" yWindow="-165" windowWidth="29040" windowHeight="15720" tabRatio="948" activeTab="9" xr2:uid="{00000000-000D-0000-FFFF-FFFF00000000}"/>
  </bookViews>
  <sheets>
    <sheet name="Pro Forma" sheetId="75" r:id="rId1"/>
    <sheet name="Pro Forma Adjustment w formulas" sheetId="21" r:id="rId2"/>
    <sheet name="Lead Schedule" sheetId="20" r:id="rId3"/>
    <sheet name="1. BI Page 204-207" sheetId="27" r:id="rId4"/>
    <sheet name="9  Manual Entries" sheetId="29" state="hidden" r:id="rId5"/>
    <sheet name="2 - Acq Adjustments" sheetId="25" state="hidden" r:id="rId6"/>
    <sheet name="2. Post Test Year_Pivot" sheetId="35" r:id="rId7"/>
    <sheet name="6.1 San Juan Closure Detail" sheetId="34" state="hidden" r:id="rId8"/>
    <sheet name="4. Depreciation Actuals Detai 1" sheetId="22" state="hidden" r:id="rId9"/>
    <sheet name="3. Depreciation Expense Dtl" sheetId="78" r:id="rId10"/>
    <sheet name="4. New Depr Rates" sheetId="46" r:id="rId11"/>
    <sheet name="5.1 G1389RW Rate" sheetId="71" state="hidden" r:id="rId12"/>
    <sheet name="5. Fortis Merger Proforma" sheetId="66" r:id="rId13"/>
    <sheet name="6. BuildOut Plant Proforma" sheetId="72" r:id="rId14"/>
    <sheet name="6.1 A5-01 Build Out PIS AD 2026" sheetId="79" r:id="rId15"/>
    <sheet name="7. GoldenValley Pipeline Profor" sheetId="73" r:id="rId16"/>
    <sheet name="8. Griffith Plant Proforma" sheetId="74" r:id="rId17"/>
    <sheet name="9. Retirements" sheetId="81" r:id="rId18"/>
    <sheet name="10. Var Review_Actual Rate Chg" sheetId="80" r:id="rId19"/>
    <sheet name="Acq Adjustment Depr" sheetId="68" state="hidden" r:id="rId20"/>
    <sheet name="Acq Adj - DEPR RATES" sheetId="70" state="hidden" r:id="rId21"/>
    <sheet name="2. UNS 106 Proforma Adj Query" sheetId="44" state="hidden" r:id="rId22"/>
    <sheet name="Sheet1" sheetId="42" state="hidden" r:id="rId23"/>
    <sheet name="dg" sheetId="43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a">'[1]O&amp;M Allocations'!#REF!</definedName>
    <definedName name="\b">'[1]O&amp;M Allocations'!#REF!</definedName>
    <definedName name="\c">'[1]O&amp;M Allocations'!#REF!</definedName>
    <definedName name="\d">'[1]O&amp;M Allocations'!#REF!</definedName>
    <definedName name="\l">'[1]O&amp;M Allocations'!#REF!</definedName>
    <definedName name="\p">'[1]O&amp;M Allocations'!#REF!</definedName>
    <definedName name="\R" localSheetId="9">#REF!</definedName>
    <definedName name="\R">#REF!</definedName>
    <definedName name="\S" localSheetId="9">#REF!</definedName>
    <definedName name="\S">#REF!</definedName>
    <definedName name="\V" localSheetId="9">#REF!</definedName>
    <definedName name="\V">#REF!</definedName>
    <definedName name="\w">'[1]O&amp;M Allocations'!#REF!</definedName>
    <definedName name="_xlnm._FilterDatabase" localSheetId="3" hidden="1">'1. BI Page 204-207'!$A$7:$L$151</definedName>
    <definedName name="_xlnm._FilterDatabase" localSheetId="21" hidden="1">'2. UNS 106 Proforma Adj Query'!$A$4:$U$4</definedName>
    <definedName name="_xlnm._FilterDatabase" localSheetId="7" hidden="1">'6.1 San Juan Closure Detail'!$A$11:$E$39</definedName>
    <definedName name="_xlnm._FilterDatabase" localSheetId="4" hidden="1">'9  Manual Entries'!$A$6:$A$6</definedName>
    <definedName name="_xlnm._FilterDatabase" localSheetId="17" hidden="1">'9. Retirements'!$A$5:$C$58</definedName>
    <definedName name="_xlnm._FilterDatabase" localSheetId="23" hidden="1">dg!$A$1:$AB$1</definedName>
    <definedName name="_xlnm._FilterDatabase" localSheetId="2" hidden="1">'Lead Schedule'!$A$4:$W$149</definedName>
    <definedName name="acc" localSheetId="9">#REF!</definedName>
    <definedName name="acc">#REF!</definedName>
    <definedName name="Account_ID" localSheetId="10">#REF!</definedName>
    <definedName name="Account_ID">'[2]Input Data'!$S:$S</definedName>
    <definedName name="Acct_AZ_UNSG_By_Plant" localSheetId="9">#REF!</definedName>
    <definedName name="Acct_AZ_UNSG_By_Plant">#REF!</definedName>
    <definedName name="ACTDEM" localSheetId="9">#REF!</definedName>
    <definedName name="ACTDEM">#REF!</definedName>
    <definedName name="ACTUAL_DEMAND__KW" localSheetId="9">#REF!</definedName>
    <definedName name="ACTUAL_DEMAND__KW">#REF!</definedName>
    <definedName name="additions" localSheetId="9">#REF!</definedName>
    <definedName name="Additions" localSheetId="10">#REF!</definedName>
    <definedName name="additions">#REF!</definedName>
    <definedName name="additions_08" localSheetId="9">#REF!</definedName>
    <definedName name="additions_08">#REF!</definedName>
    <definedName name="Additions_09" localSheetId="9">#REF!</definedName>
    <definedName name="Additions_09">#REF!</definedName>
    <definedName name="Additions_2009" localSheetId="9">#REF!</definedName>
    <definedName name="Additions_2009">#REF!</definedName>
    <definedName name="AEAlloc" localSheetId="9">#REF!</definedName>
    <definedName name="AEAlloc">#REF!</definedName>
    <definedName name="ALL" localSheetId="9">#REF!</definedName>
    <definedName name="ALL">#REF!</definedName>
    <definedName name="AllocationDate" localSheetId="9">#REF!</definedName>
    <definedName name="AllocationDate">#REF!</definedName>
    <definedName name="Allocators" localSheetId="9">#REF!</definedName>
    <definedName name="Allocators">#REF!</definedName>
    <definedName name="APCFAC" localSheetId="9">#REF!</definedName>
    <definedName name="APCFAC">#REF!</definedName>
    <definedName name="APCLF" localSheetId="9">#REF!</definedName>
    <definedName name="APCLF">#REF!</definedName>
    <definedName name="APCMW" localSheetId="9">#REF!</definedName>
    <definedName name="APCMW">#REF!</definedName>
    <definedName name="APCMWH" localSheetId="9">#REF!</definedName>
    <definedName name="APCMWH">#REF!</definedName>
    <definedName name="ASL">'[2]Rebuttal-H-Parameters'!$T:$T</definedName>
    <definedName name="ATS_Table" localSheetId="10">#REF!</definedName>
    <definedName name="ATS_Table">'[3]ATS Input'!$A$1:$AG$167</definedName>
    <definedName name="B1P1" localSheetId="9">#REF!</definedName>
    <definedName name="B1P1">#REF!</definedName>
    <definedName name="BBFAC" localSheetId="9">#REF!</definedName>
    <definedName name="BBFAC">#REF!</definedName>
    <definedName name="BBLF" localSheetId="9">#REF!</definedName>
    <definedName name="BBLF">#REF!</definedName>
    <definedName name="BBMW" localSheetId="9">#REF!</definedName>
    <definedName name="BBMW">#REF!</definedName>
    <definedName name="BBMWH" localSheetId="9">#REF!</definedName>
    <definedName name="BBMWH">#REF!</definedName>
    <definedName name="bench" localSheetId="9">#REF!</definedName>
    <definedName name="bench">#REF!</definedName>
    <definedName name="BILLED_HOURS" localSheetId="9">#REF!</definedName>
    <definedName name="BILLED_HOURS">#REF!</definedName>
    <definedName name="BILLING_DEMAND__KW" localSheetId="9">#REF!</definedName>
    <definedName name="BILLING_DEMAND__KW">#REF!</definedName>
    <definedName name="BNE_MESSAGES_HIDDEN" hidden="1">'[4]NSP J832-835'!$AA$13:$AA$76</definedName>
    <definedName name="BPAAlloc" localSheetId="9">#REF!</definedName>
    <definedName name="BPAAlloc">#REF!</definedName>
    <definedName name="BPACustAlloc" localSheetId="9">#REF!</definedName>
    <definedName name="BPACustAlloc">#REF!</definedName>
    <definedName name="BPAGenAlloc" localSheetId="9">#REF!</definedName>
    <definedName name="BPAGenAlloc">#REF!</definedName>
    <definedName name="BPAGenHeader" localSheetId="9">#REF!</definedName>
    <definedName name="BPAGenHeader">#REF!</definedName>
    <definedName name="BRDMONTH" localSheetId="9">#REF!</definedName>
    <definedName name="BRDMONTH">#REF!</definedName>
    <definedName name="BRDMONTH12" localSheetId="9">#REF!</definedName>
    <definedName name="BRDMONTH12">#REF!</definedName>
    <definedName name="BRDQTR" localSheetId="9">#REF!</definedName>
    <definedName name="BRDQTR">#REF!</definedName>
    <definedName name="BRDYTD" localSheetId="9">#REF!</definedName>
    <definedName name="BRDYTD">#REF!</definedName>
    <definedName name="BRMAT" localSheetId="9">#REF!</definedName>
    <definedName name="BRMAT">#REF!</definedName>
    <definedName name="BS">'[5]Consol Adj.'!#REF!</definedName>
    <definedName name="CAAAlloc" localSheetId="9">#REF!</definedName>
    <definedName name="CAAAlloc">#REF!</definedName>
    <definedName name="CandAByCust" localSheetId="9">#REF!</definedName>
    <definedName name="CandAByCust">#REF!</definedName>
    <definedName name="CandAByFunc" localSheetId="9">#REF!</definedName>
    <definedName name="CandAByFunc">#REF!</definedName>
    <definedName name="cap" localSheetId="9">#REF!</definedName>
    <definedName name="cap">#REF!</definedName>
    <definedName name="Category1" localSheetId="9">#REF!</definedName>
    <definedName name="Category1">#REF!</definedName>
    <definedName name="CENTS_KWH__GROSS" localSheetId="9">#REF!</definedName>
    <definedName name="CENTS_KWH__GROSS">#REF!</definedName>
    <definedName name="CENTS_KWH__NET" localSheetId="9">#REF!</definedName>
    <definedName name="CENTS_KWH__NET">#REF!</definedName>
    <definedName name="CITYM" localSheetId="9">#REF!</definedName>
    <definedName name="CITYM">#REF!</definedName>
    <definedName name="CITYS" localSheetId="9">#REF!</definedName>
    <definedName name="CITYS">#REF!</definedName>
    <definedName name="CITYST" localSheetId="9">#REF!</definedName>
    <definedName name="CITYST">#REF!</definedName>
    <definedName name="CITYT" localSheetId="9">#REF!</definedName>
    <definedName name="CITYT">#REF!</definedName>
    <definedName name="Class" localSheetId="9">#REF!</definedName>
    <definedName name="Class">#REF!</definedName>
    <definedName name="ClassCode" localSheetId="9">#REF!</definedName>
    <definedName name="ClassCode">#REF!</definedName>
    <definedName name="ClassCustomer" localSheetId="9">#REF!</definedName>
    <definedName name="ClassCustomer">#REF!</definedName>
    <definedName name="ClassDA" localSheetId="9">#REF!</definedName>
    <definedName name="ClassDA">#REF!</definedName>
    <definedName name="ClassFunction" localSheetId="9">#REF!</definedName>
    <definedName name="ClassFunction">#REF!</definedName>
    <definedName name="ClassMethod" localSheetId="9">#REF!</definedName>
    <definedName name="ClassMethod">#REF!</definedName>
    <definedName name="ColumnAttributes1" localSheetId="9">#REF!</definedName>
    <definedName name="ColumnAttributes1">#REF!</definedName>
    <definedName name="ColumnHeadings1" localSheetId="9">#REF!</definedName>
    <definedName name="ColumnHeadings1">#REF!</definedName>
    <definedName name="Cover" localSheetId="9">#REF!</definedName>
    <definedName name="Cover">#REF!</definedName>
    <definedName name="cp" localSheetId="9">#REF!</definedName>
    <definedName name="cp">#REF!</definedName>
    <definedName name="CPAlloc" localSheetId="9">#REF!</definedName>
    <definedName name="CPAlloc">#REF!</definedName>
    <definedName name="CPHeader" localSheetId="9">#REF!</definedName>
    <definedName name="CPHeader">#REF!</definedName>
    <definedName name="_xlnm.Criteria" localSheetId="9">#REF!</definedName>
    <definedName name="_xlnm.Criteria">#REF!</definedName>
    <definedName name="Curve">'[2]Rebuttal-H-Parameters'!$R:$R</definedName>
    <definedName name="custgrowth" localSheetId="9">#REF!</definedName>
    <definedName name="custgrowth">#REF!</definedName>
    <definedName name="CWIPBAL" localSheetId="9">#REF!</definedName>
    <definedName name="CWIPBAL" localSheetId="2">#REF!</definedName>
    <definedName name="CWIPBAL" localSheetId="1">#REF!</definedName>
    <definedName name="CWIPBAL">#REF!</definedName>
    <definedName name="CYPRUSFAC" localSheetId="9">#REF!</definedName>
    <definedName name="CYPRUSFAC">#REF!</definedName>
    <definedName name="CYPRUSLF" localSheetId="9">#REF!</definedName>
    <definedName name="CYPRUSLF">#REF!</definedName>
    <definedName name="CYPRUSMW" localSheetId="9">#REF!</definedName>
    <definedName name="CYPRUSMW">#REF!</definedName>
    <definedName name="CYPRUSMWH" localSheetId="9">#REF!</definedName>
    <definedName name="CYPRUSMWH">#REF!</definedName>
    <definedName name="DA" localSheetId="9">#REF!</definedName>
    <definedName name="DA">#REF!</definedName>
    <definedName name="data" localSheetId="9">#REF!</definedName>
    <definedName name="data">#REF!</definedName>
    <definedName name="_xlnm.Database" localSheetId="9">#REF!</definedName>
    <definedName name="_xlnm.Database">#REF!</definedName>
    <definedName name="DATABASE1" localSheetId="9">#REF!</definedName>
    <definedName name="DATABASE1">#REF!</definedName>
    <definedName name="Database2">[6]REPORT!$A$16:$F$278</definedName>
    <definedName name="date" localSheetId="9">#REF!</definedName>
    <definedName name="date">#REF!</definedName>
    <definedName name="Day">'[7]Update dates'!$A$12:$A$25</definedName>
    <definedName name="DE" localSheetId="9">#REF!</definedName>
    <definedName name="DE">#REF!</definedName>
    <definedName name="Decom_Accounts">'[8]F. Fut. Net Sal.'!#REF!</definedName>
    <definedName name="demand" localSheetId="9">#REF!</definedName>
    <definedName name="demand">#REF!</definedName>
    <definedName name="DepreciationExpenseDetailGas_Export1" localSheetId="9">'3. Depreciation Expense Dtl'!$A$7:$F$54</definedName>
    <definedName name="DepreciationExpenseDetailGas_Export1_Header" localSheetId="9">'3. Depreciation Expense Dtl'!$A$1:$F$6</definedName>
    <definedName name="DepreciationExpenseDetailGas_Export1_Header_CenterLabel1" localSheetId="9">'3. Depreciation Expense Dtl'!$C$3</definedName>
    <definedName name="DepreciationExpenseDetailGas_Export1_Header_CenterLabel2" localSheetId="9">'3. Depreciation Expense Dtl'!$C$4</definedName>
    <definedName name="DepreciationExpenseDetailGas_Export1_Header_CenterLabel3" localSheetId="9">'3. Depreciation Expense Dtl'!$C$5</definedName>
    <definedName name="DepreciationExpenseDetailGas_Export1_Header_LeftLabel1" localSheetId="9">'3. Depreciation Expense Dtl'!$A$3</definedName>
    <definedName name="DepreciationExpenseDetailGas_Export1_Header_LeftLabel2" localSheetId="9">'3. Depreciation Expense Dtl'!$A$4</definedName>
    <definedName name="DepreciationExpenseDetailGas_Export1_Header_LeftLabel3" localSheetId="9">'3. Depreciation Expense Dtl'!$A$5</definedName>
    <definedName name="DepreciationExpenseDetailGas_Export1_Header_RightLabel1" localSheetId="9">'3. Depreciation Expense Dtl'!$F$3</definedName>
    <definedName name="DepreciationExpenseDetailGas_Export1_Header_RightLabel2" localSheetId="9">'3. Depreciation Expense Dtl'!$F$4</definedName>
    <definedName name="DepreciationExpenseDetailGas_Export1_Header_RightLabel3" localSheetId="9">'3. Depreciation Expense Dtl'!$F$5</definedName>
    <definedName name="DepreciationExpenseDetailGas_Export1_Header_Title" localSheetId="9">'3. Depreciation Expense Dtl'!$C$1</definedName>
    <definedName name="DepreciationExpenseDetailGas_Export1_Main" localSheetId="9">'3. Depreciation Expense Dtl'!$A$1:$F$54</definedName>
    <definedName name="descriptions" localSheetId="9">#REF!</definedName>
    <definedName name="descriptions">#REF!</definedName>
    <definedName name="Detail" localSheetId="9">#REF!</definedName>
    <definedName name="Detail">#REF!</definedName>
    <definedName name="Distribution" localSheetId="21">[9]Master!#REF!</definedName>
    <definedName name="Distribution">[10]Master!#REF!</definedName>
    <definedName name="DMFAC" localSheetId="9">#REF!</definedName>
    <definedName name="DMFAC">#REF!</definedName>
    <definedName name="DMLF" localSheetId="9">#REF!</definedName>
    <definedName name="DMLF">#REF!</definedName>
    <definedName name="DMMW" localSheetId="9">#REF!</definedName>
    <definedName name="DMMW">#REF!</definedName>
    <definedName name="DMMWH" localSheetId="9">#REF!</definedName>
    <definedName name="DMMWH">#REF!</definedName>
    <definedName name="DPretires" localSheetId="9">#REF!</definedName>
    <definedName name="DPretires">#REF!</definedName>
    <definedName name="DPROD" localSheetId="9">#REF!</definedName>
    <definedName name="DPROD">#REF!</definedName>
    <definedName name="draft" localSheetId="9">#REF!</definedName>
    <definedName name="draft">#REF!</definedName>
    <definedName name="e1p1" localSheetId="9">#REF!</definedName>
    <definedName name="e1p1">#REF!</definedName>
    <definedName name="e1p2" localSheetId="9">#REF!</definedName>
    <definedName name="e1p2">#REF!</definedName>
    <definedName name="e2p1" localSheetId="9">#REF!</definedName>
    <definedName name="e2p1">#REF!</definedName>
    <definedName name="e3p1" localSheetId="9">#REF!</definedName>
    <definedName name="e3p1">#REF!</definedName>
    <definedName name="e3p2" localSheetId="9">#REF!</definedName>
    <definedName name="e3p2">#REF!</definedName>
    <definedName name="e4p1" localSheetId="9">#REF!</definedName>
    <definedName name="e4p1">#REF!</definedName>
    <definedName name="e5p1" localSheetId="9">#REF!</definedName>
    <definedName name="e5p1">#REF!</definedName>
    <definedName name="e5p2" localSheetId="9">#REF!</definedName>
    <definedName name="e5p2">#REF!</definedName>
    <definedName name="e5p3" localSheetId="9">#REF!</definedName>
    <definedName name="e5p3">#REF!</definedName>
    <definedName name="e5p4" localSheetId="9">#REF!</definedName>
    <definedName name="e5p4">#REF!</definedName>
    <definedName name="e7p1" localSheetId="9">#REF!</definedName>
    <definedName name="e7p1">#REF!</definedName>
    <definedName name="e8p1" localSheetId="9">#REF!</definedName>
    <definedName name="e8p1">#REF!</definedName>
    <definedName name="ENERGYSALES" localSheetId="9">#REF!</definedName>
    <definedName name="ENERGYSALES">#REF!</definedName>
    <definedName name="_xlnm.Extract" localSheetId="9">#REF!</definedName>
    <definedName name="_xlnm.Extract">#REF!</definedName>
    <definedName name="f1p1" localSheetId="9">#REF!</definedName>
    <definedName name="f1p1">#REF!</definedName>
    <definedName name="f2p1">[11]F1!#REF!</definedName>
    <definedName name="f3p1">[11]F1!#REF!</definedName>
    <definedName name="FC" localSheetId="21">[9]Master!#REF!</definedName>
    <definedName name="FC">[10]Master!#REF!</definedName>
    <definedName name="FINAL_CHECK" localSheetId="6">#REF!</definedName>
    <definedName name="FINAL_CHECK" localSheetId="21">#REF!</definedName>
    <definedName name="FINAL_CHECK" localSheetId="9">#REF!</definedName>
    <definedName name="FINAL_CHECK">#REF!</definedName>
    <definedName name="firstcust" localSheetId="9">#REF!</definedName>
    <definedName name="firstcust">#REF!</definedName>
    <definedName name="firstkwh" localSheetId="9">#REF!</definedName>
    <definedName name="firstkwh">#REF!</definedName>
    <definedName name="ForcastRev" localSheetId="9">#REF!</definedName>
    <definedName name="ForcastRev">#REF!</definedName>
    <definedName name="ForecastRev72" localSheetId="9">#REF!</definedName>
    <definedName name="ForecastRev72">#REF!</definedName>
    <definedName name="ForecastRev73" localSheetId="9">#REF!</definedName>
    <definedName name="ForecastRev73">#REF!</definedName>
    <definedName name="ForecastRevHeader" localSheetId="9">#REF!</definedName>
    <definedName name="ForecastRevHeader">#REF!</definedName>
    <definedName name="ForecastRevHeader72" localSheetId="9">#REF!</definedName>
    <definedName name="ForecastRevHeader72">#REF!</definedName>
    <definedName name="FRANM" localSheetId="9">#REF!</definedName>
    <definedName name="FRANM">#REF!</definedName>
    <definedName name="FRANT" localSheetId="9">#REF!</definedName>
    <definedName name="FRANT">#REF!</definedName>
    <definedName name="FTHUAFAC" localSheetId="9">#REF!</definedName>
    <definedName name="FTHUAFAC">#REF!</definedName>
    <definedName name="FTHUALF" localSheetId="9">#REF!</definedName>
    <definedName name="FTHUALF">#REF!</definedName>
    <definedName name="FTHUAMW" localSheetId="9">#REF!</definedName>
    <definedName name="FTHUAMW">#REF!</definedName>
    <definedName name="FTHUAMWH" localSheetId="9">#REF!</definedName>
    <definedName name="FTHUAMWH">#REF!</definedName>
    <definedName name="Function" localSheetId="9">#REF!</definedName>
    <definedName name="Function">#REF!</definedName>
    <definedName name="FY_2020" localSheetId="6">#REF!</definedName>
    <definedName name="FY_2020" localSheetId="21">#REF!</definedName>
    <definedName name="FY_2020" localSheetId="9">#REF!</definedName>
    <definedName name="FY_2020">#REF!</definedName>
    <definedName name="FYear1">[12]COS!#REF!</definedName>
    <definedName name="FYear2">[12]COS!#REF!</definedName>
    <definedName name="FYear3">[12]COS!#REF!</definedName>
    <definedName name="FYear4">[12]COS!#REF!</definedName>
    <definedName name="FYear5">[12]COS!#REF!</definedName>
    <definedName name="GasTurbine" localSheetId="6">[10]Master!#REF!</definedName>
    <definedName name="GasTurbine" localSheetId="21">[9]Master!#REF!</definedName>
    <definedName name="GasTurbine">[10]Master!#REF!</definedName>
    <definedName name="Gila" localSheetId="21">[9]Master!#REF!</definedName>
    <definedName name="Gila">[10]Master!#REF!</definedName>
    <definedName name="GL_Asset_Category" localSheetId="9">#REF!</definedName>
    <definedName name="GL_Asset_Category">#REF!</definedName>
    <definedName name="GLCWIP" localSheetId="9">#REF!</definedName>
    <definedName name="GLCWIP" localSheetId="2">#REF!</definedName>
    <definedName name="GLCWIP" localSheetId="1">#REF!</definedName>
    <definedName name="GLCWIP">#REF!</definedName>
    <definedName name="GROSS_REVENUE" localSheetId="9">#REF!</definedName>
    <definedName name="GROSS_REVENUE">#REF!</definedName>
    <definedName name="Group_Asset_Category" localSheetId="9">#REF!</definedName>
    <definedName name="Group_Asset_Category">#REF!</definedName>
    <definedName name="HEADER" localSheetId="9">#REF!</definedName>
    <definedName name="HEADER">#REF!</definedName>
    <definedName name="histdate" localSheetId="9">#REF!</definedName>
    <definedName name="histdate">#REF!</definedName>
    <definedName name="HOME" localSheetId="9">#REF!</definedName>
    <definedName name="HOME">#REF!</definedName>
    <definedName name="HUGHESFAC" localSheetId="9">#REF!</definedName>
    <definedName name="HUGHESFAC">#REF!</definedName>
    <definedName name="HUGHESLF" localSheetId="9">#REF!</definedName>
    <definedName name="HUGHESLF">#REF!</definedName>
    <definedName name="HUGHESMW" localSheetId="9">#REF!</definedName>
    <definedName name="HUGHESMW">#REF!</definedName>
    <definedName name="HUGHESMWH" localSheetId="9">#REF!</definedName>
    <definedName name="HUGHESMWH">#REF!</definedName>
    <definedName name="IBMFAC" localSheetId="9">#REF!</definedName>
    <definedName name="IBMFAC">#REF!</definedName>
    <definedName name="IBMLF" localSheetId="9">#REF!</definedName>
    <definedName name="IBMLF">#REF!</definedName>
    <definedName name="IBMMW" localSheetId="9">#REF!</definedName>
    <definedName name="IBMMW">#REF!</definedName>
    <definedName name="IBMMWH" localSheetId="9">#REF!</definedName>
    <definedName name="IBMMWH">#REF!</definedName>
    <definedName name="Inc_Stat" localSheetId="9">#REF!</definedName>
    <definedName name="Inc_Stat">#REF!</definedName>
    <definedName name="Index" localSheetId="9">#REF!</definedName>
    <definedName name="Index">#REF!</definedName>
    <definedName name="IndexHeader" localSheetId="9">#REF!</definedName>
    <definedName name="IndexHeader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RIBBON_CREATE_SUCCESS">TRUE</definedName>
    <definedName name="IS_RIBBON_SHOW_GRAPH_GROUP">FALSE</definedName>
    <definedName name="IS_RIBBON_SHOW_MAIN_GROUP">TRUE</definedName>
    <definedName name="KWH" localSheetId="9">#REF!</definedName>
    <definedName name="KWH">#REF!</definedName>
    <definedName name="LIQAIRFAC" localSheetId="9">#REF!</definedName>
    <definedName name="LIQAIRFAC">#REF!</definedName>
    <definedName name="LIQAIRLF" localSheetId="9">#REF!</definedName>
    <definedName name="LIQAIRLF">#REF!</definedName>
    <definedName name="LIQAIRMW" localSheetId="9">#REF!</definedName>
    <definedName name="LIQAIRMW">#REF!</definedName>
    <definedName name="LIQAIRMWH" localSheetId="9">#REF!</definedName>
    <definedName name="LIQAIRMWH">#REF!</definedName>
    <definedName name="LOAD_FACTOR" localSheetId="9">#REF!</definedName>
    <definedName name="LOAD_FACTOR">#REF!</definedName>
    <definedName name="LOAD_FACTOR_BASED_ON_BILLING_DEMAND" localSheetId="9">#REF!</definedName>
    <definedName name="LOAD_FACTOR_BASED_ON_BILLING_DEMAND">#REF!</definedName>
    <definedName name="Load81" localSheetId="9">#REF!</definedName>
    <definedName name="Load81">#REF!</definedName>
    <definedName name="Load81Header" localSheetId="9">#REF!</definedName>
    <definedName name="Load81Header">#REF!</definedName>
    <definedName name="Load82" localSheetId="9">#REF!</definedName>
    <definedName name="Load82">#REF!</definedName>
    <definedName name="Load82Header" localSheetId="9">#REF!</definedName>
    <definedName name="Load82Header">#REF!</definedName>
    <definedName name="Load83" localSheetId="9">#REF!</definedName>
    <definedName name="Load83">#REF!</definedName>
    <definedName name="Load83Header" localSheetId="9">#REF!</definedName>
    <definedName name="Load83Header">#REF!</definedName>
    <definedName name="Load84" localSheetId="9">#REF!</definedName>
    <definedName name="Load84">#REF!</definedName>
    <definedName name="Load84Header" localSheetId="9">#REF!</definedName>
    <definedName name="Load84Header">#REF!</definedName>
    <definedName name="Load85" localSheetId="9">#REF!</definedName>
    <definedName name="Load85">#REF!</definedName>
    <definedName name="Load85Header" localSheetId="9">#REF!</definedName>
    <definedName name="Load85Header">#REF!</definedName>
    <definedName name="Load86" localSheetId="9">#REF!</definedName>
    <definedName name="Load86">#REF!</definedName>
    <definedName name="Load86Header" localSheetId="9">#REF!</definedName>
    <definedName name="Load86Header">#REF!</definedName>
    <definedName name="Load87" localSheetId="9">#REF!</definedName>
    <definedName name="Load87">#REF!</definedName>
    <definedName name="LoadHeader" localSheetId="9">#REF!</definedName>
    <definedName name="LoadHeader">#REF!</definedName>
    <definedName name="LoadHeaderHistoric" localSheetId="9">#REF!</definedName>
    <definedName name="LoadHeaderHistoric">#REF!</definedName>
    <definedName name="LocalSteam" localSheetId="21">[9]Master!#REF!</definedName>
    <definedName name="LocalSteam">[10]Master!#REF!</definedName>
    <definedName name="LOCPOST" localSheetId="9">#REF!</definedName>
    <definedName name="LOCPOST" localSheetId="2">#REF!</definedName>
    <definedName name="LOCPOST" localSheetId="1">#REF!</definedName>
    <definedName name="LOCPOST">#REF!</definedName>
    <definedName name="Luna" localSheetId="21">[9]Master!#REF!</definedName>
    <definedName name="Luna">[10]Master!#REF!</definedName>
    <definedName name="M">'[5]Consol Adj.'!#REF!</definedName>
    <definedName name="MACRO1" localSheetId="9">#REF!</definedName>
    <definedName name="MACRO1">#REF!</definedName>
    <definedName name="minsys" localSheetId="9">#REF!</definedName>
    <definedName name="minsys">#REF!</definedName>
    <definedName name="MISS1FAC" localSheetId="9">#REF!</definedName>
    <definedName name="MISS1FAC">#REF!</definedName>
    <definedName name="MISS1LF" localSheetId="9">#REF!</definedName>
    <definedName name="MISS1LF">#REF!</definedName>
    <definedName name="MISS1MW" localSheetId="9">#REF!</definedName>
    <definedName name="MISS1MW">#REF!</definedName>
    <definedName name="MISS1MWH" localSheetId="9">#REF!</definedName>
    <definedName name="MISS1MWH">#REF!</definedName>
    <definedName name="MISS2FAC" localSheetId="9">#REF!</definedName>
    <definedName name="MISS2FAC">#REF!</definedName>
    <definedName name="MISS2LF" localSheetId="9">#REF!</definedName>
    <definedName name="MISS2LF">#REF!</definedName>
    <definedName name="MISS2MW" localSheetId="9">#REF!</definedName>
    <definedName name="MISS2MW">#REF!</definedName>
    <definedName name="MISS2MWH" localSheetId="9">#REF!</definedName>
    <definedName name="MISS2MWH">#REF!</definedName>
    <definedName name="MONTH" localSheetId="9">#REF!</definedName>
    <definedName name="MONTH">#REF!</definedName>
    <definedName name="MONTH12" localSheetId="9">#REF!</definedName>
    <definedName name="MONTH12">#REF!</definedName>
    <definedName name="Navajo" localSheetId="21">[9]Master!#REF!</definedName>
    <definedName name="Navajo">[10]Master!#REF!</definedName>
    <definedName name="NET_REVENUE" localSheetId="9">#REF!</definedName>
    <definedName name="NET_REVENUE">#REF!</definedName>
    <definedName name="new">[13]Macro1!$A$88</definedName>
    <definedName name="NOTE">'[5]Consol Adj.'!#REF!</definedName>
    <definedName name="NP" localSheetId="9">#REF!</definedName>
    <definedName name="NP">#REF!</definedName>
    <definedName name="NS" localSheetId="10">'[8]C. Reserves'!#REF!</definedName>
    <definedName name="NS">'[14]Statement C'!#REF!</definedName>
    <definedName name="NSd" localSheetId="10">'[8]H. Parameters'!#REF!</definedName>
    <definedName name="NSd">'[2]Rebuttal-H-Parameters'!$AL:$AL</definedName>
    <definedName name="NSu" localSheetId="10">'[8]H. Parameters'!#REF!</definedName>
    <definedName name="NSu">'[2]Rebuttal-H-Parameters'!$AF:$AF</definedName>
    <definedName name="OMCustomer" localSheetId="9">#REF!</definedName>
    <definedName name="OMCustomer">#REF!</definedName>
    <definedName name="OMFunct" localSheetId="9">#REF!</definedName>
    <definedName name="OMFunct">#REF!</definedName>
    <definedName name="PAGE" localSheetId="9">#REF!</definedName>
    <definedName name="PAGE">#REF!</definedName>
    <definedName name="PAGE1" localSheetId="9">#REF!</definedName>
    <definedName name="PAGE1">#REF!</definedName>
    <definedName name="PAGE10" localSheetId="9">#REF!</definedName>
    <definedName name="PAGE10">#REF!</definedName>
    <definedName name="PAGE2" localSheetId="9">#REF!</definedName>
    <definedName name="PAGE2">#REF!</definedName>
    <definedName name="PAGE3" localSheetId="9">#REF!</definedName>
    <definedName name="PAGE3">#REF!</definedName>
    <definedName name="PAGE4" localSheetId="9">#REF!</definedName>
    <definedName name="PAGE4">#REF!</definedName>
    <definedName name="PAGE5" localSheetId="9">#REF!</definedName>
    <definedName name="PAGE5">#REF!</definedName>
    <definedName name="PAGE6" localSheetId="9">#REF!</definedName>
    <definedName name="PAGE6">#REF!</definedName>
    <definedName name="PAGE7" localSheetId="9">#REF!</definedName>
    <definedName name="PAGE7">#REF!</definedName>
    <definedName name="PAGE8" localSheetId="9">#REF!</definedName>
    <definedName name="PAGE8">#REF!</definedName>
    <definedName name="PAGE9" localSheetId="9">#REF!</definedName>
    <definedName name="PAGE9">#REF!</definedName>
    <definedName name="Period" localSheetId="9">#REF!</definedName>
    <definedName name="Period">#REF!</definedName>
    <definedName name="PIS" localSheetId="9">#REF!</definedName>
    <definedName name="PIS">#REF!</definedName>
    <definedName name="Plant" localSheetId="10">#REF!</definedName>
    <definedName name="Plant">'[2]Input Data'!$D:$D</definedName>
    <definedName name="POWER_FACTOR" localSheetId="9">#REF!</definedName>
    <definedName name="POWER_FACTOR">#REF!</definedName>
    <definedName name="Power51Header" localSheetId="9">#REF!</definedName>
    <definedName name="Power51Header">#REF!</definedName>
    <definedName name="Power52" localSheetId="9">#REF!</definedName>
    <definedName name="Power52">#REF!</definedName>
    <definedName name="Power52Header" localSheetId="9">#REF!</definedName>
    <definedName name="Power52Header">#REF!</definedName>
    <definedName name="Power53" localSheetId="9">#REF!</definedName>
    <definedName name="Power53">#REF!</definedName>
    <definedName name="Power53Header" localSheetId="9">#REF!</definedName>
    <definedName name="Power53Header">#REF!</definedName>
    <definedName name="Power54" localSheetId="9">#REF!</definedName>
    <definedName name="Power54">#REF!</definedName>
    <definedName name="Power54Header" localSheetId="9">#REF!</definedName>
    <definedName name="Power54Header">#REF!</definedName>
    <definedName name="Power55" localSheetId="9">#REF!</definedName>
    <definedName name="Power55">#REF!</definedName>
    <definedName name="Power55Header" localSheetId="9">#REF!</definedName>
    <definedName name="Power55Header">#REF!</definedName>
    <definedName name="Power56" localSheetId="9">#REF!</definedName>
    <definedName name="Power56">#REF!</definedName>
    <definedName name="Power56Header" localSheetId="9">#REF!</definedName>
    <definedName name="Power56Header">#REF!</definedName>
    <definedName name="PowerHeader" localSheetId="9">#REF!</definedName>
    <definedName name="PowerHeader">#REF!</definedName>
    <definedName name="PowerSum" localSheetId="9">#REF!</definedName>
    <definedName name="PowerSum">#REF!</definedName>
    <definedName name="Prescribed_Option" localSheetId="10">#REF!</definedName>
    <definedName name="Prescribed_Option">'[3]Input Tables'!$AC$3:$AC$4</definedName>
    <definedName name="Prescribed_Table" localSheetId="10">#REF!</definedName>
    <definedName name="Prescribed_Table">'[3]Input Tables'!$AC$3:$AD$4</definedName>
    <definedName name="Print" localSheetId="9">#REF!</definedName>
    <definedName name="Print">#REF!</definedName>
    <definedName name="_xlnm.Print_Area" localSheetId="5">'2 - Acq Adjustments'!$A$1:$N$49</definedName>
    <definedName name="_xlnm.Print_Area" localSheetId="6">'2. Post Test Year_Pivot'!$A$1:$K$34</definedName>
    <definedName name="_xlnm.Print_Area" localSheetId="21">'2. UNS 106 Proforma Adj Query'!$A$1:$U$35</definedName>
    <definedName name="_xlnm.Print_Area" localSheetId="9">'3. Depreciation Expense Dtl'!$A$1:$P$54</definedName>
    <definedName name="_xlnm.Print_Area" localSheetId="8">'4. Depreciation Actuals Detai 1'!$A$1:$O$67</definedName>
    <definedName name="_xlnm.Print_Area" localSheetId="10">'4. New Depr Rates'!$A$1:$AC$69</definedName>
    <definedName name="_xlnm.Print_Area" localSheetId="12">'5. Fortis Merger Proforma'!$A$1:$P$55</definedName>
    <definedName name="_xlnm.Print_Area" localSheetId="13">'6. BuildOut Plant Proforma'!$A$1:$L$55</definedName>
    <definedName name="_xlnm.Print_Area" localSheetId="15">'7. GoldenValley Pipeline Profor'!$A$1:$M$13</definedName>
    <definedName name="_xlnm.Print_Area" localSheetId="16">'8. Griffith Plant Proforma'!$A$1:$I$21</definedName>
    <definedName name="_xlnm.Print_Area" localSheetId="4">'9  Manual Entries'!$A$1:$X$31</definedName>
    <definedName name="_xlnm.Print_Area" localSheetId="2">'Lead Schedule'!$A$1:$U$157</definedName>
    <definedName name="_xlnm.Print_Area" localSheetId="0">'Pro Forma'!$A$1:$D$61</definedName>
    <definedName name="_xlnm.Print_Area" localSheetId="1">'Pro Forma Adjustment w formulas'!#REF!</definedName>
    <definedName name="_xlnm.Print_Area">#REF!,#REF!,#REF!,#REF!,#REF!,#REF!,#REF!,#REF!,#REF!,#REF!,#REF!,#REF!,#REF!,#REF!,#REF!</definedName>
    <definedName name="_xlnm.Print_Titles" localSheetId="3">'1. BI Page 204-207'!$1:$7</definedName>
    <definedName name="_xlnm.Print_Titles" localSheetId="21">'2. UNS 106 Proforma Adj Query'!$3:$4</definedName>
    <definedName name="_xlnm.Print_Titles" localSheetId="8">'4. Depreciation Actuals Detai 1'!$2:$7</definedName>
    <definedName name="_xlnm.Print_Titles" localSheetId="10">'4. New Depr Rates'!$1:$10</definedName>
    <definedName name="_xlnm.Print_Titles" localSheetId="4">'9  Manual Entries'!$2:$6</definedName>
    <definedName name="_xlnm.Print_Titles" localSheetId="2">'Lead Schedule'!$2:$4</definedName>
    <definedName name="Procedure" localSheetId="10">#REF!</definedName>
    <definedName name="Procedure">'[3]Input Tables'!$S$3:$S$6</definedName>
    <definedName name="Procedure_ID" localSheetId="10">#REF!</definedName>
    <definedName name="Procedure_ID">'[3]Input Tables'!$U$1</definedName>
    <definedName name="Procedure_Table" localSheetId="10">#REF!</definedName>
    <definedName name="Procedure_Table">'[3]Input Tables'!$S$3:$U$6</definedName>
    <definedName name="project" localSheetId="6">#REF!</definedName>
    <definedName name="project" localSheetId="21">#REF!</definedName>
    <definedName name="project" localSheetId="9">#REF!</definedName>
    <definedName name="project" localSheetId="2">#REF!</definedName>
    <definedName name="project" localSheetId="1">#REF!</definedName>
    <definedName name="project">#REF!</definedName>
    <definedName name="ProposedRate91" localSheetId="9">#REF!</definedName>
    <definedName name="ProposedRate91">#REF!</definedName>
    <definedName name="ProtectionContents">TRUE</definedName>
    <definedName name="PSClass" localSheetId="9">#REF!</definedName>
    <definedName name="PSClass">#REF!</definedName>
    <definedName name="psrate" localSheetId="9">#REF!</definedName>
    <definedName name="psrate">#REF!</definedName>
    <definedName name="qmat" localSheetId="9">#REF!</definedName>
    <definedName name="qmat">#REF!</definedName>
    <definedName name="QTR" localSheetId="9">#REF!</definedName>
    <definedName name="QTR">#REF!</definedName>
    <definedName name="qtrinfo" localSheetId="9">#REF!</definedName>
    <definedName name="qtrinfo">#REF!</definedName>
    <definedName name="RACC" localSheetId="9">#REF!</definedName>
    <definedName name="RACC">#REF!</definedName>
    <definedName name="RateClass" localSheetId="9">#REF!</definedName>
    <definedName name="RateClass">#REF!</definedName>
    <definedName name="ratios" localSheetId="9">#REF!</definedName>
    <definedName name="ratios">#REF!</definedName>
    <definedName name="RBCustomer" localSheetId="9">#REF!</definedName>
    <definedName name="RBCustomer">#REF!</definedName>
    <definedName name="RCITYM" localSheetId="9">#REF!</definedName>
    <definedName name="RCITYM">#REF!</definedName>
    <definedName name="RCITYS" localSheetId="9">#REF!</definedName>
    <definedName name="RCITYS">#REF!</definedName>
    <definedName name="RCITYST" localSheetId="9">#REF!</definedName>
    <definedName name="RCITYST">#REF!</definedName>
    <definedName name="RCITYT" localSheetId="9">#REF!</definedName>
    <definedName name="RCITYT">#REF!</definedName>
    <definedName name="RECLASS" localSheetId="9">#REF!</definedName>
    <definedName name="RECLASS">#REF!</definedName>
    <definedName name="Recorded_Year_Hours_per_month" localSheetId="9">#REF!</definedName>
    <definedName name="Recorded_Year_Hours_per_month">#REF!</definedName>
    <definedName name="RecordedRR">'[2]Rebuttal-C-Reserves'!$H:$H</definedName>
    <definedName name="Recover" localSheetId="15">[15]Macro1!$A$81</definedName>
    <definedName name="Recover" localSheetId="4">[16]Macro1!$A$88</definedName>
    <definedName name="Recover">[17]Macro1!$A$83</definedName>
    <definedName name="RedistributedRR">'[2]Rebuttal-C-Reserves'!$P:$P</definedName>
    <definedName name="Redistribution" localSheetId="10">#REF!</definedName>
    <definedName name="Redistribution">'[3]Input Tables'!$W$3:$W$6</definedName>
    <definedName name="Redistribution_Table" localSheetId="10">#REF!</definedName>
    <definedName name="Redistribution_Table">'[3]Input Tables'!$W$3:$X$6</definedName>
    <definedName name="Renew" localSheetId="6">[10]Master!#REF!</definedName>
    <definedName name="Renew" localSheetId="21">[9]Master!#REF!</definedName>
    <definedName name="Renew">[10]Master!#REF!</definedName>
    <definedName name="ReportTitle1" localSheetId="9">#REF!</definedName>
    <definedName name="ReportTitle1">#REF!</definedName>
    <definedName name="Reserve" localSheetId="9">#REF!</definedName>
    <definedName name="Reserve">#REF!</definedName>
    <definedName name="retiredelayed" localSheetId="9">#REF!</definedName>
    <definedName name="retiredelayed">#REF!</definedName>
    <definedName name="Retirements">'[3]Net Salvage'!$F:$F</definedName>
    <definedName name="retirementsDP" localSheetId="9">#REF!</definedName>
    <definedName name="retirementsDP">#REF!</definedName>
    <definedName name="retiresFA" localSheetId="9">#REF!</definedName>
    <definedName name="retiresFA">#REF!</definedName>
    <definedName name="revvar" localSheetId="9">#REF!</definedName>
    <definedName name="revvar">#REF!</definedName>
    <definedName name="RFRANM" localSheetId="9">#REF!</definedName>
    <definedName name="RFRANM">#REF!</definedName>
    <definedName name="RFRANT" localSheetId="9">#REF!</definedName>
    <definedName name="RFRANT">#REF!</definedName>
    <definedName name="RIBBON_OBJECT_POINTER">532253912</definedName>
    <definedName name="RL">'[2]Rebuttal-H-Parameters'!$V:$V</definedName>
    <definedName name="RowDetails1" localSheetId="9">#REF!</definedName>
    <definedName name="RowDetails1">#REF!</definedName>
    <definedName name="RR" localSheetId="10">'[8]C. Reserves'!#REF!</definedName>
    <definedName name="RR">'[14]Statement C'!#REF!</definedName>
    <definedName name="RRBT" localSheetId="9">#REF!</definedName>
    <definedName name="RRBT">#REF!</definedName>
    <definedName name="RRi" localSheetId="10">'[8]C. Reserves'!#REF!</definedName>
    <definedName name="RRi">'[2]Rebuttal-C-Reserves'!$R:$R</definedName>
    <definedName name="RRr" localSheetId="10">'[8]C. Reserves'!#REF!</definedName>
    <definedName name="RRr">'[14]Statement C'!#REF!</definedName>
    <definedName name="RRs" localSheetId="10">'[8]C. Reserves'!#REF!</definedName>
    <definedName name="RRs">'[14]Statement C'!#REF!</definedName>
    <definedName name="RRUCO" localSheetId="9">#REF!</definedName>
    <definedName name="RRUCO">#REF!</definedName>
    <definedName name="RSTATE" localSheetId="9">#REF!</definedName>
    <definedName name="RSTATE">#REF!</definedName>
    <definedName name="Sa">'[2]Rebuttal-H-Parameters'!$X:$X</definedName>
    <definedName name="Salvage_Option" localSheetId="10">#REF!</definedName>
    <definedName name="Salvage_Option">'[3]Input Tables'!$Z$3:$Z$5</definedName>
    <definedName name="Salvage_Switch" localSheetId="10">'[8]E. Net Salvage'!#REF!</definedName>
    <definedName name="Salvage_Switch">'[3]Net Salvage'!$W$2</definedName>
    <definedName name="Salvage_Table" localSheetId="10">#REF!</definedName>
    <definedName name="Salvage_Table">'[3]Input Tables'!$Z$3:$AA$5</definedName>
    <definedName name="Sar" localSheetId="10">'[8]H. Parameters'!#REF!</definedName>
    <definedName name="Sar">[3]Parameters!$AT:$AT</definedName>
    <definedName name="Sas" localSheetId="10">'[8]H. Parameters'!#REF!</definedName>
    <definedName name="Sas">[3]Parameters!$AZ:$AZ</definedName>
    <definedName name="Sdr" localSheetId="10">'[8]H. Parameters'!#REF!</definedName>
    <definedName name="Sdr">[3]Parameters!$AJ:$AJ</definedName>
    <definedName name="Sds" localSheetId="10">'[8]H. Parameters'!#REF!</definedName>
    <definedName name="Sds">'[2]Rebuttal-H-Parameters'!$AH:$AH</definedName>
    <definedName name="Seasons" localSheetId="9">#REF!</definedName>
    <definedName name="Seasons">#REF!</definedName>
    <definedName name="Sf">'[2]Rebuttal-H-Parameters'!$Z:$Z</definedName>
    <definedName name="Sfr" localSheetId="10">'[8]H. Parameters'!#REF!</definedName>
    <definedName name="Sfr">[3]Parameters!$AR:$AR</definedName>
    <definedName name="Sfs" localSheetId="10">'[8]H. Parameters'!#REF!</definedName>
    <definedName name="Sfs">[3]Parameters!$AX:$AX</definedName>
    <definedName name="SGS" localSheetId="21">[9]Master!#REF!</definedName>
    <definedName name="SGS">[10]Master!#REF!</definedName>
    <definedName name="Shared" localSheetId="21">[9]Master!#REF!</definedName>
    <definedName name="Shared">[10]Master!#REF!</definedName>
    <definedName name="SILVERFAC" localSheetId="9">#REF!</definedName>
    <definedName name="SILVERFAC">#REF!</definedName>
    <definedName name="SILVERLF" localSheetId="9">#REF!</definedName>
    <definedName name="SILVERLF">#REF!</definedName>
    <definedName name="SILVERMW" localSheetId="9">#REF!</definedName>
    <definedName name="SILVERMW">#REF!</definedName>
    <definedName name="SILVERMWH" localSheetId="9">#REF!</definedName>
    <definedName name="SILVERMWH">#REF!</definedName>
    <definedName name="SJ" localSheetId="21">[9]Master!#REF!</definedName>
    <definedName name="SJ">[10]Master!#REF!</definedName>
    <definedName name="stat" localSheetId="9">#REF!</definedName>
    <definedName name="stat">#REF!</definedName>
    <definedName name="STATE" localSheetId="9">#REF!</definedName>
    <definedName name="STATE">#REF!</definedName>
    <definedName name="step1" localSheetId="9">#REF!</definedName>
    <definedName name="step1">#REF!</definedName>
    <definedName name="step2" localSheetId="9">#REF!</definedName>
    <definedName name="step2">#REF!</definedName>
    <definedName name="sum">[16]Macro1!$A$88</definedName>
    <definedName name="SumForecast" localSheetId="9">#REF!</definedName>
    <definedName name="SumForecast">#REF!</definedName>
    <definedName name="SumHistoric" localSheetId="9">#REF!</definedName>
    <definedName name="SumHistoric">#REF!</definedName>
    <definedName name="SumPower" localSheetId="9">#REF!</definedName>
    <definedName name="SumPower">#REF!</definedName>
    <definedName name="SumPresRate" localSheetId="9">#REF!</definedName>
    <definedName name="SumPresRate">#REF!</definedName>
    <definedName name="SumPropRate" localSheetId="9">#REF!</definedName>
    <definedName name="SumPropRate">#REF!</definedName>
    <definedName name="SumRateBase" localSheetId="9">#REF!</definedName>
    <definedName name="SumRateBase">#REF!</definedName>
    <definedName name="SumRevClass" localSheetId="9">#REF!</definedName>
    <definedName name="SumRevClass">#REF!</definedName>
    <definedName name="SumRevPresRate" localSheetId="9">#REF!</definedName>
    <definedName name="SumRevPresRate">#REF!</definedName>
    <definedName name="SumRevPropRate" localSheetId="9">#REF!</definedName>
    <definedName name="SumRevPropRate">#REF!</definedName>
    <definedName name="SumRevRate" localSheetId="9">#REF!</definedName>
    <definedName name="SumRevRate">#REF!</definedName>
    <definedName name="SumRevReq" localSheetId="9">#REF!</definedName>
    <definedName name="SumRevReq">#REF!</definedName>
    <definedName name="SUPP">'[5]Consol Adj.'!#REF!</definedName>
    <definedName name="Sur" localSheetId="10">'[8]H. Parameters'!#REF!</definedName>
    <definedName name="Sur">[3]Parameters!$AD:$AD</definedName>
    <definedName name="Sus" localSheetId="10">'[8]H. Parameters'!#REF!</definedName>
    <definedName name="Sus">'[2]Rebuttal-H-Parameters'!$AB:$AB</definedName>
    <definedName name="SWITCH" localSheetId="10">'[8]C. Reserves'!#REF!</definedName>
    <definedName name="SWITCH">[3]Reserves!$AA$2:$AA$2</definedName>
    <definedName name="TableName">"Dummy"</definedName>
    <definedName name="TableOfContents" localSheetId="9">#REF!</definedName>
    <definedName name="TableOfContents">#REF!</definedName>
    <definedName name="TAXES" localSheetId="9">#REF!</definedName>
    <definedName name="TAXES">#REF!</definedName>
    <definedName name="TBLHeader" localSheetId="9">#REF!</definedName>
    <definedName name="TBLHeader">#REF!</definedName>
    <definedName name="Technique_Option">'[3]Input Tables'!$AF$3:$AF$4</definedName>
    <definedName name="Technique_Table">'[3]Input Tables'!$AF$3:$AG$4</definedName>
    <definedName name="Test" localSheetId="10">'[8]H. Parameters'!#REF!</definedName>
    <definedName name="Test">[3]Parameters!$AN:$AN</definedName>
    <definedName name="testcust" localSheetId="9">#REF!</definedName>
    <definedName name="testcust">#REF!</definedName>
    <definedName name="testdate" localSheetId="9">#REF!</definedName>
    <definedName name="testdate">#REF!</definedName>
    <definedName name="testkwh" localSheetId="9">#REF!</definedName>
    <definedName name="testkwh">#REF!</definedName>
    <definedName name="Theo" localSheetId="10">'[8]H. Parameters'!#REF!</definedName>
    <definedName name="Theo">[3]Parameters!$BH:$BH</definedName>
    <definedName name="TMCFAC" localSheetId="9">#REF!</definedName>
    <definedName name="TMCFAC">#REF!</definedName>
    <definedName name="TMCLF" localSheetId="9">#REF!</definedName>
    <definedName name="TMCLF">#REF!</definedName>
    <definedName name="TMCMW" localSheetId="9">#REF!</definedName>
    <definedName name="TMCMW">#REF!</definedName>
    <definedName name="TMCMWH" localSheetId="9">#REF!</definedName>
    <definedName name="TMCMWH">#REF!</definedName>
    <definedName name="Total" localSheetId="9">#REF!</definedName>
    <definedName name="Total">#REF!</definedName>
    <definedName name="TotalPlant" localSheetId="6">#REF!</definedName>
    <definedName name="TotalPlant" localSheetId="21">#REF!</definedName>
    <definedName name="TotalPlant" localSheetId="9">#REF!</definedName>
    <definedName name="TotalPlant">#REF!</definedName>
    <definedName name="TrackerCust" localSheetId="9">#REF!</definedName>
    <definedName name="TrackerCust">#REF!</definedName>
    <definedName name="TrackerPrice" localSheetId="9">#REF!</definedName>
    <definedName name="TrackerPrice">#REF!</definedName>
    <definedName name="Transmission" localSheetId="6">[10]Master!#REF!</definedName>
    <definedName name="Transmission" localSheetId="21">[9]Master!#REF!</definedName>
    <definedName name="Transmission">[10]Master!#REF!</definedName>
    <definedName name="TRR" localSheetId="10">'[8]H. Parameters'!#REF!</definedName>
    <definedName name="TRR">[3]Parameters!#REF!</definedName>
    <definedName name="TRRi" localSheetId="10">'[8]H. Parameters'!#REF!</definedName>
    <definedName name="TRRi">[3]Parameters!$BF:$BF</definedName>
    <definedName name="TRRr" localSheetId="10">'[8]H. Parameters'!#REF!</definedName>
    <definedName name="TRRr">[3]Parameters!$AV:$AV</definedName>
    <definedName name="TRRs" localSheetId="10">'[8]H. Parameters'!#REF!</definedName>
    <definedName name="TRRs">[3]Parameters!$BB:$BB</definedName>
    <definedName name="TRRsr">'[8]H. Parameters'!#REF!</definedName>
    <definedName name="UACHRPFAC" localSheetId="9">#REF!</definedName>
    <definedName name="UACHRPFAC">#REF!</definedName>
    <definedName name="UACHRPLF" localSheetId="9">#REF!</definedName>
    <definedName name="UACHRPLF">#REF!</definedName>
    <definedName name="UACHRPMW" localSheetId="9">#REF!</definedName>
    <definedName name="UACHRPMW">#REF!</definedName>
    <definedName name="UACHRPMWH" localSheetId="9">#REF!</definedName>
    <definedName name="UACHRPMWH">#REF!</definedName>
    <definedName name="UAMAINFAC" localSheetId="9">#REF!</definedName>
    <definedName name="UAMAINFAC">#REF!</definedName>
    <definedName name="UAMAINLF" localSheetId="9">#REF!</definedName>
    <definedName name="UAMAINLF">#REF!</definedName>
    <definedName name="UAMAINMW" localSheetId="9">#REF!</definedName>
    <definedName name="UAMAINMW">#REF!</definedName>
    <definedName name="UAMAINMWH" localSheetId="9">#REF!</definedName>
    <definedName name="UAMAINMWH">#REF!</definedName>
    <definedName name="UAMEDFAC" localSheetId="9">#REF!</definedName>
    <definedName name="UAMEDFAC">#REF!</definedName>
    <definedName name="UAMEDLF" localSheetId="9">#REF!</definedName>
    <definedName name="UAMEDLF">#REF!</definedName>
    <definedName name="UAMEDMW" localSheetId="9">#REF!</definedName>
    <definedName name="UAMEDMW">#REF!</definedName>
    <definedName name="UAMEDMWH" localSheetId="9">#REF!</definedName>
    <definedName name="UAMEDMWH">#REF!</definedName>
    <definedName name="Unbundle_Rate_Base" localSheetId="9">#REF!</definedName>
    <definedName name="Unbundle_Rate_Base">#REF!</definedName>
    <definedName name="Unbundle_Rev_Req" localSheetId="9">#REF!</definedName>
    <definedName name="Unbundle_Rev_Req">#REF!</definedName>
    <definedName name="Unbundling_Unit_Cost" localSheetId="9">#REF!</definedName>
    <definedName name="Unbundling_Unit_Cost">#REF!</definedName>
    <definedName name="Unbundling_Unit_Title" localSheetId="9">#REF!</definedName>
    <definedName name="Unbundling_Unit_Title">#REF!</definedName>
    <definedName name="unitcost" localSheetId="9">#REF!</definedName>
    <definedName name="unitcost">#REF!</definedName>
    <definedName name="UnitCost21" localSheetId="9">#REF!</definedName>
    <definedName name="UnitCost21">#REF!</definedName>
    <definedName name="UnitCost22" localSheetId="9">#REF!</definedName>
    <definedName name="UnitCost22">#REF!</definedName>
    <definedName name="Unspecified" localSheetId="21">[9]Master!#REF!</definedName>
    <definedName name="Unspecified">[10]Master!#REF!</definedName>
    <definedName name="UP" localSheetId="9">#REF!</definedName>
    <definedName name="UP">#REF!</definedName>
    <definedName name="UPR">[18]Macro1!$A$103</definedName>
    <definedName name="utility" localSheetId="9">#REF!</definedName>
    <definedName name="utility">#REF!</definedName>
    <definedName name="utilstt" localSheetId="9">#REF!</definedName>
    <definedName name="utilstt">#REF!</definedName>
    <definedName name="wrn.E._.and._.O._.Budget._.mail." localSheetId="9" hidden="1">{#N/A,#N/A,FALSE,"Summary (1)";#N/A,#N/A,FALSE,"Cmmn Op (2)";#N/A,#N/A,FALSE,"4&amp;5 Op (3)";#N/A,#N/A,FALSE,"Cmmn Mtc (4)";#N/A,#N/A,FALSE,"4&amp;5 Mtc (5)";#N/A,#N/A,FALSE,"Transm 1 (6)";#N/A,#N/A,FALSE,"Transm 2 (7)";#N/A,#N/A,FALSE,"Transm 3 (8)";#N/A,#N/A,FALSE,"Loads - A&amp;G (9)"}</definedName>
    <definedName name="wrn.E._.and._.O._.Budget._.mail." localSheetId="7" hidden="1">{#N/A,#N/A,FALSE,"Summary (1)";#N/A,#N/A,FALSE,"Cmmn Op (2)";#N/A,#N/A,FALSE,"4&amp;5 Op (3)";#N/A,#N/A,FALSE,"Cmmn Mtc (4)";#N/A,#N/A,FALSE,"4&amp;5 Mtc (5)";#N/A,#N/A,FALSE,"Transm 1 (6)";#N/A,#N/A,FALSE,"Transm 2 (7)";#N/A,#N/A,FALSE,"Transm 3 (8)";#N/A,#N/A,FALSE,"Loads - A&amp;G (9)"}</definedName>
    <definedName name="wrn.E._.and._.O._.Budget._.mail." hidden="1">{#N/A,#N/A,FALSE,"Summary (1)";#N/A,#N/A,FALSE,"Cmmn Op (2)";#N/A,#N/A,FALSE,"4&amp;5 Op (3)";#N/A,#N/A,FALSE,"Cmmn Mtc (4)";#N/A,#N/A,FALSE,"4&amp;5 Mtc (5)";#N/A,#N/A,FALSE,"Transm 1 (6)";#N/A,#N/A,FALSE,"Transm 2 (7)";#N/A,#N/A,FALSE,"Transm 3 (8)";#N/A,#N/A,FALSE,"Loads - A&amp;G (9)"}</definedName>
    <definedName name="YTD" localSheetId="9">#REF!</definedName>
    <definedName name="YTD">#REF!</definedName>
  </definedNames>
  <calcPr calcId="191029"/>
  <pivotCaches>
    <pivotCache cacheId="0" r:id="rId47"/>
    <pivotCache cacheId="1" r:id="rId4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5" i="20" l="1"/>
  <c r="C53" i="75" l="1"/>
  <c r="D51" i="75"/>
  <c r="C51" i="75"/>
  <c r="P143" i="20" l="1"/>
  <c r="P142" i="20"/>
  <c r="P141" i="20"/>
  <c r="P140" i="20"/>
  <c r="P139" i="20"/>
  <c r="P138" i="20"/>
  <c r="P137" i="20"/>
  <c r="P135" i="20"/>
  <c r="P136" i="20" s="1"/>
  <c r="P133" i="20"/>
  <c r="P132" i="20"/>
  <c r="P131" i="20"/>
  <c r="P130" i="20"/>
  <c r="P129" i="20"/>
  <c r="P128" i="20"/>
  <c r="P127" i="20"/>
  <c r="P126" i="20"/>
  <c r="P125" i="20"/>
  <c r="P123" i="20"/>
  <c r="P122" i="20"/>
  <c r="P121" i="20"/>
  <c r="P120" i="20"/>
  <c r="P119" i="20"/>
  <c r="P117" i="20"/>
  <c r="P116" i="20"/>
  <c r="P115" i="20"/>
  <c r="P114" i="20"/>
  <c r="P113" i="20"/>
  <c r="P112" i="20"/>
  <c r="P111" i="20"/>
  <c r="P110" i="20"/>
  <c r="P109" i="20"/>
  <c r="P108" i="20"/>
  <c r="P107" i="20"/>
  <c r="P106" i="20"/>
  <c r="P104" i="20"/>
  <c r="P103" i="20"/>
  <c r="P102" i="20"/>
  <c r="P101" i="20"/>
  <c r="P100" i="20"/>
  <c r="P99" i="20"/>
  <c r="P98" i="20"/>
  <c r="P96" i="20"/>
  <c r="P95" i="20"/>
  <c r="P94" i="20"/>
  <c r="P93" i="20"/>
  <c r="P92" i="20"/>
  <c r="P91" i="20"/>
  <c r="P90" i="20"/>
  <c r="P88" i="20"/>
  <c r="P87" i="20"/>
  <c r="P86" i="20"/>
  <c r="P85" i="20"/>
  <c r="P84" i="20"/>
  <c r="P83" i="20"/>
  <c r="P82" i="20"/>
  <c r="P81" i="20"/>
  <c r="P80" i="20"/>
  <c r="P79" i="20"/>
  <c r="P78" i="20"/>
  <c r="P77" i="20"/>
  <c r="P76" i="20"/>
  <c r="P75" i="20"/>
  <c r="P73" i="20"/>
  <c r="P72" i="20"/>
  <c r="P71" i="20"/>
  <c r="P70" i="20"/>
  <c r="P69" i="20"/>
  <c r="P68" i="20"/>
  <c r="P67" i="20"/>
  <c r="P66" i="20"/>
  <c r="P65" i="20"/>
  <c r="P64" i="20"/>
  <c r="P63" i="20"/>
  <c r="P62" i="20"/>
  <c r="P61" i="20"/>
  <c r="P59" i="20"/>
  <c r="P58" i="20"/>
  <c r="P57" i="20"/>
  <c r="P56" i="20"/>
  <c r="P55" i="20"/>
  <c r="P54" i="20"/>
  <c r="P53" i="20"/>
  <c r="P50" i="20"/>
  <c r="P48" i="20"/>
  <c r="P47" i="20"/>
  <c r="P45" i="20"/>
  <c r="P43" i="20"/>
  <c r="P41" i="20"/>
  <c r="P42" i="20" s="1"/>
  <c r="P39" i="20"/>
  <c r="P37" i="20"/>
  <c r="P35" i="20"/>
  <c r="P33" i="20"/>
  <c r="P31" i="20"/>
  <c r="P32" i="20" s="1"/>
  <c r="P29" i="20"/>
  <c r="P27" i="20"/>
  <c r="P26" i="20"/>
  <c r="P25" i="20"/>
  <c r="P24" i="20"/>
  <c r="P21" i="20"/>
  <c r="P22" i="20" s="1"/>
  <c r="P19" i="20"/>
  <c r="P18" i="20"/>
  <c r="P16" i="20"/>
  <c r="P15" i="20"/>
  <c r="P13" i="20"/>
  <c r="P14" i="20" s="1"/>
  <c r="P11" i="20"/>
  <c r="P10" i="20"/>
  <c r="P7" i="20"/>
  <c r="P8" i="20" s="1"/>
  <c r="P5" i="20"/>
  <c r="C58" i="81"/>
  <c r="P147" i="20" s="1"/>
  <c r="N68" i="80"/>
  <c r="M68" i="80"/>
  <c r="L68" i="80"/>
  <c r="K68" i="80"/>
  <c r="J68" i="80"/>
  <c r="N51" i="80"/>
  <c r="M51" i="80"/>
  <c r="L51" i="80"/>
  <c r="K51" i="80"/>
  <c r="J51" i="80"/>
  <c r="N34" i="80"/>
  <c r="M34" i="80"/>
  <c r="L34" i="80"/>
  <c r="K34" i="80"/>
  <c r="J34" i="80"/>
  <c r="N17" i="80"/>
  <c r="M17" i="80"/>
  <c r="L17" i="80"/>
  <c r="K17" i="80"/>
  <c r="J17" i="80"/>
  <c r="P30" i="20" l="1"/>
  <c r="P144" i="20"/>
  <c r="P105" i="20"/>
  <c r="P89" i="20"/>
  <c r="P97" i="20"/>
  <c r="P12" i="20"/>
  <c r="P28" i="20"/>
  <c r="P49" i="20"/>
  <c r="P118" i="20"/>
  <c r="P134" i="20"/>
  <c r="P124" i="20"/>
  <c r="P74" i="20"/>
  <c r="P60" i="20"/>
  <c r="P51" i="20"/>
  <c r="P46" i="20"/>
  <c r="P44" i="20"/>
  <c r="P40" i="20"/>
  <c r="P38" i="20"/>
  <c r="P36" i="20"/>
  <c r="P34" i="20"/>
  <c r="P20" i="20"/>
  <c r="P17" i="20"/>
  <c r="P6" i="20"/>
  <c r="P9" i="20" s="1"/>
  <c r="W144" i="20"/>
  <c r="W118" i="20"/>
  <c r="W105" i="20"/>
  <c r="W89" i="20"/>
  <c r="W74" i="20"/>
  <c r="W60" i="20"/>
  <c r="W51" i="20"/>
  <c r="W49" i="20"/>
  <c r="W46" i="20"/>
  <c r="W44" i="20"/>
  <c r="W42" i="20"/>
  <c r="W40" i="20"/>
  <c r="W38" i="20"/>
  <c r="W36" i="20"/>
  <c r="W34" i="20"/>
  <c r="W32" i="20"/>
  <c r="W30" i="20"/>
  <c r="W28" i="20"/>
  <c r="W22" i="20"/>
  <c r="W20" i="20"/>
  <c r="W17" i="20"/>
  <c r="W14" i="20"/>
  <c r="W12" i="20"/>
  <c r="W8" i="20"/>
  <c r="W6" i="20"/>
  <c r="V144" i="20"/>
  <c r="V136" i="20"/>
  <c r="V134" i="20"/>
  <c r="V124" i="20"/>
  <c r="V118" i="20"/>
  <c r="V105" i="20"/>
  <c r="V89" i="20"/>
  <c r="V74" i="20"/>
  <c r="V60" i="20"/>
  <c r="V51" i="20"/>
  <c r="V49" i="20"/>
  <c r="V46" i="20"/>
  <c r="V44" i="20"/>
  <c r="V42" i="20"/>
  <c r="V40" i="20"/>
  <c r="V38" i="20"/>
  <c r="V36" i="20"/>
  <c r="V34" i="20"/>
  <c r="V32" i="20"/>
  <c r="V30" i="20"/>
  <c r="V28" i="20"/>
  <c r="V22" i="20"/>
  <c r="V20" i="20"/>
  <c r="V17" i="20"/>
  <c r="V14" i="20"/>
  <c r="V12" i="20"/>
  <c r="V8" i="20"/>
  <c r="V6" i="20"/>
  <c r="P52" i="20" l="1"/>
  <c r="P23" i="20"/>
  <c r="P145" i="20"/>
  <c r="W146" i="20"/>
  <c r="M123" i="27"/>
  <c r="O10" i="78"/>
  <c r="J135" i="20"/>
  <c r="J147" i="20"/>
  <c r="J138" i="20"/>
  <c r="Q138" i="20" s="1"/>
  <c r="J139" i="20"/>
  <c r="Q139" i="20" s="1"/>
  <c r="J140" i="20"/>
  <c r="Q140" i="20" s="1"/>
  <c r="J141" i="20"/>
  <c r="Q141" i="20" s="1"/>
  <c r="J142" i="20"/>
  <c r="Q142" i="20" s="1"/>
  <c r="J143" i="20"/>
  <c r="Q143" i="20" s="1"/>
  <c r="J137" i="20"/>
  <c r="Q137" i="20" s="1"/>
  <c r="J133" i="20"/>
  <c r="Q133" i="20" s="1"/>
  <c r="J132" i="20"/>
  <c r="Q132" i="20" s="1"/>
  <c r="J131" i="20"/>
  <c r="Q131" i="20" s="1"/>
  <c r="J130" i="20"/>
  <c r="Q130" i="20" s="1"/>
  <c r="J129" i="20"/>
  <c r="Q129" i="20" s="1"/>
  <c r="J128" i="20"/>
  <c r="Q128" i="20" s="1"/>
  <c r="J127" i="20"/>
  <c r="Q127" i="20" s="1"/>
  <c r="J126" i="20"/>
  <c r="Q126" i="20" s="1"/>
  <c r="J125" i="20"/>
  <c r="Q125" i="20" s="1"/>
  <c r="J123" i="20"/>
  <c r="Q123" i="20" s="1"/>
  <c r="J122" i="20"/>
  <c r="Q122" i="20" s="1"/>
  <c r="J121" i="20"/>
  <c r="Q121" i="20" s="1"/>
  <c r="J120" i="20"/>
  <c r="Q120" i="20" s="1"/>
  <c r="J119" i="20"/>
  <c r="Q119" i="20" s="1"/>
  <c r="J117" i="20"/>
  <c r="Q117" i="20" s="1"/>
  <c r="J116" i="20"/>
  <c r="Q116" i="20" s="1"/>
  <c r="J115" i="20"/>
  <c r="Q115" i="20" s="1"/>
  <c r="J114" i="20"/>
  <c r="Q114" i="20" s="1"/>
  <c r="J113" i="20"/>
  <c r="Q113" i="20" s="1"/>
  <c r="J112" i="20"/>
  <c r="Q112" i="20" s="1"/>
  <c r="J111" i="20"/>
  <c r="Q111" i="20" s="1"/>
  <c r="J110" i="20"/>
  <c r="Q110" i="20" s="1"/>
  <c r="J109" i="20"/>
  <c r="Q109" i="20" s="1"/>
  <c r="J108" i="20"/>
  <c r="Q108" i="20" s="1"/>
  <c r="J107" i="20"/>
  <c r="Q107" i="20" s="1"/>
  <c r="J106" i="20"/>
  <c r="Q106" i="20" s="1"/>
  <c r="J104" i="20"/>
  <c r="Q104" i="20" s="1"/>
  <c r="J103" i="20"/>
  <c r="Q103" i="20" s="1"/>
  <c r="J102" i="20"/>
  <c r="Q102" i="20" s="1"/>
  <c r="J101" i="20"/>
  <c r="Q101" i="20" s="1"/>
  <c r="J100" i="20"/>
  <c r="Q100" i="20" s="1"/>
  <c r="J99" i="20"/>
  <c r="Q99" i="20" s="1"/>
  <c r="J98" i="20"/>
  <c r="Q98" i="20" s="1"/>
  <c r="J96" i="20"/>
  <c r="Q96" i="20" s="1"/>
  <c r="J95" i="20"/>
  <c r="Q95" i="20" s="1"/>
  <c r="J94" i="20"/>
  <c r="Q94" i="20" s="1"/>
  <c r="J93" i="20"/>
  <c r="Q93" i="20" s="1"/>
  <c r="J92" i="20"/>
  <c r="Q92" i="20" s="1"/>
  <c r="J91" i="20"/>
  <c r="Q91" i="20" s="1"/>
  <c r="J90" i="20"/>
  <c r="Q90" i="20" s="1"/>
  <c r="J88" i="20"/>
  <c r="Q88" i="20" s="1"/>
  <c r="J87" i="20"/>
  <c r="Q87" i="20" s="1"/>
  <c r="J86" i="20"/>
  <c r="Q86" i="20" s="1"/>
  <c r="J85" i="20"/>
  <c r="Q85" i="20" s="1"/>
  <c r="J84" i="20"/>
  <c r="Q84" i="20" s="1"/>
  <c r="J83" i="20"/>
  <c r="Q83" i="20" s="1"/>
  <c r="J82" i="20"/>
  <c r="Q82" i="20" s="1"/>
  <c r="J81" i="20"/>
  <c r="Q81" i="20" s="1"/>
  <c r="J80" i="20"/>
  <c r="Q80" i="20" s="1"/>
  <c r="J79" i="20"/>
  <c r="Q79" i="20" s="1"/>
  <c r="J78" i="20"/>
  <c r="Q78" i="20" s="1"/>
  <c r="J77" i="20"/>
  <c r="Q77" i="20" s="1"/>
  <c r="J76" i="20"/>
  <c r="Q76" i="20" s="1"/>
  <c r="J75" i="20"/>
  <c r="Q75" i="20" s="1"/>
  <c r="J73" i="20"/>
  <c r="Q73" i="20" s="1"/>
  <c r="J72" i="20"/>
  <c r="Q72" i="20" s="1"/>
  <c r="J71" i="20"/>
  <c r="Q71" i="20" s="1"/>
  <c r="J70" i="20"/>
  <c r="Q70" i="20" s="1"/>
  <c r="J69" i="20"/>
  <c r="Q69" i="20" s="1"/>
  <c r="J68" i="20"/>
  <c r="Q68" i="20" s="1"/>
  <c r="J67" i="20"/>
  <c r="Q67" i="20" s="1"/>
  <c r="J66" i="20"/>
  <c r="Q66" i="20" s="1"/>
  <c r="J65" i="20"/>
  <c r="Q65" i="20" s="1"/>
  <c r="J64" i="20"/>
  <c r="Q64" i="20" s="1"/>
  <c r="J63" i="20"/>
  <c r="Q63" i="20" s="1"/>
  <c r="J62" i="20"/>
  <c r="Q62" i="20" s="1"/>
  <c r="J61" i="20"/>
  <c r="Q61" i="20" s="1"/>
  <c r="J59" i="20"/>
  <c r="J58" i="20"/>
  <c r="J57" i="20"/>
  <c r="J56" i="20"/>
  <c r="J55" i="20"/>
  <c r="J54" i="20"/>
  <c r="J53" i="20"/>
  <c r="J50" i="20"/>
  <c r="J48" i="20"/>
  <c r="J47" i="20"/>
  <c r="J45" i="20"/>
  <c r="J43" i="20"/>
  <c r="J41" i="20"/>
  <c r="J39" i="20"/>
  <c r="J37" i="20"/>
  <c r="J35" i="20"/>
  <c r="J33" i="20"/>
  <c r="J31" i="20"/>
  <c r="J29" i="20"/>
  <c r="J27" i="20"/>
  <c r="J26" i="20"/>
  <c r="J25" i="20"/>
  <c r="J24" i="20"/>
  <c r="J21" i="20"/>
  <c r="J19" i="20"/>
  <c r="J18" i="20"/>
  <c r="J16" i="20"/>
  <c r="J15" i="20"/>
  <c r="J13" i="20"/>
  <c r="J11" i="20"/>
  <c r="J10" i="20"/>
  <c r="J7" i="20"/>
  <c r="J5" i="20"/>
  <c r="B15" i="66"/>
  <c r="D15" i="66" s="1"/>
  <c r="F15" i="66" s="1"/>
  <c r="O21" i="20"/>
  <c r="O11" i="20"/>
  <c r="O48" i="20"/>
  <c r="O19" i="20"/>
  <c r="O16" i="20"/>
  <c r="F13" i="74"/>
  <c r="E13" i="74"/>
  <c r="D13" i="74"/>
  <c r="O147" i="20" s="1"/>
  <c r="J10" i="73"/>
  <c r="F10" i="73"/>
  <c r="H9" i="73"/>
  <c r="E9" i="73"/>
  <c r="D9" i="73"/>
  <c r="N35" i="20" s="1"/>
  <c r="H8" i="73"/>
  <c r="D8" i="73"/>
  <c r="N31" i="20" s="1"/>
  <c r="I7" i="73"/>
  <c r="I9" i="73" s="1"/>
  <c r="E7" i="73"/>
  <c r="E8" i="73" s="1"/>
  <c r="D22" i="79"/>
  <c r="D23" i="79" s="1"/>
  <c r="D29" i="79" s="1"/>
  <c r="C11" i="79"/>
  <c r="B9" i="79"/>
  <c r="D19" i="72"/>
  <c r="D20" i="72"/>
  <c r="D21" i="72"/>
  <c r="D22" i="72"/>
  <c r="D23" i="72"/>
  <c r="D24" i="72"/>
  <c r="D25" i="72"/>
  <c r="D26" i="72"/>
  <c r="D27" i="72"/>
  <c r="D28" i="72"/>
  <c r="D29" i="72"/>
  <c r="C32" i="72"/>
  <c r="C44" i="72" s="1"/>
  <c r="C33" i="72"/>
  <c r="C34" i="72"/>
  <c r="C35" i="72"/>
  <c r="C36" i="72"/>
  <c r="D37" i="72"/>
  <c r="C38" i="72"/>
  <c r="C39" i="72"/>
  <c r="C40" i="72"/>
  <c r="C41" i="72"/>
  <c r="C42" i="72"/>
  <c r="O144" i="20"/>
  <c r="N144" i="20"/>
  <c r="M144" i="20"/>
  <c r="L144" i="20"/>
  <c r="O136" i="20"/>
  <c r="N136" i="20"/>
  <c r="M136" i="20"/>
  <c r="L136" i="20"/>
  <c r="O134" i="20"/>
  <c r="N134" i="20"/>
  <c r="M134" i="20"/>
  <c r="L134" i="20"/>
  <c r="K134" i="20"/>
  <c r="O124" i="20"/>
  <c r="N124" i="20"/>
  <c r="M124" i="20"/>
  <c r="L124" i="20"/>
  <c r="K124" i="20"/>
  <c r="O118" i="20"/>
  <c r="N118" i="20"/>
  <c r="M118" i="20"/>
  <c r="L118" i="20"/>
  <c r="O105" i="20"/>
  <c r="N105" i="20"/>
  <c r="M105" i="20"/>
  <c r="L105" i="20"/>
  <c r="K105" i="20"/>
  <c r="R97" i="20"/>
  <c r="T97" i="20" s="1"/>
  <c r="O97" i="20"/>
  <c r="N97" i="20"/>
  <c r="M97" i="20"/>
  <c r="L97" i="20"/>
  <c r="O89" i="20"/>
  <c r="N89" i="20"/>
  <c r="M89" i="20"/>
  <c r="L89" i="20"/>
  <c r="O74" i="20"/>
  <c r="N74" i="20"/>
  <c r="M74" i="20"/>
  <c r="L74" i="20"/>
  <c r="O60" i="20"/>
  <c r="N60" i="20"/>
  <c r="M60" i="20"/>
  <c r="L60" i="20"/>
  <c r="O51" i="20"/>
  <c r="N51" i="20"/>
  <c r="L51" i="20"/>
  <c r="N49" i="20"/>
  <c r="M49" i="20"/>
  <c r="L49" i="20"/>
  <c r="O46" i="20"/>
  <c r="N46" i="20"/>
  <c r="M46" i="20"/>
  <c r="L46" i="20"/>
  <c r="O44" i="20"/>
  <c r="N44" i="20"/>
  <c r="M44" i="20"/>
  <c r="L44" i="20"/>
  <c r="O42" i="20"/>
  <c r="N42" i="20"/>
  <c r="M42" i="20"/>
  <c r="L42" i="20"/>
  <c r="O40" i="20"/>
  <c r="N40" i="20"/>
  <c r="M40" i="20"/>
  <c r="L40" i="20"/>
  <c r="O38" i="20"/>
  <c r="N38" i="20"/>
  <c r="M38" i="20"/>
  <c r="O36" i="20"/>
  <c r="L36" i="20"/>
  <c r="O34" i="20"/>
  <c r="N34" i="20"/>
  <c r="L34" i="20"/>
  <c r="O32" i="20"/>
  <c r="L32" i="20"/>
  <c r="O30" i="20"/>
  <c r="N30" i="20"/>
  <c r="L30" i="20"/>
  <c r="O28" i="20"/>
  <c r="N28" i="20"/>
  <c r="L28" i="20"/>
  <c r="N22" i="20"/>
  <c r="M22" i="20"/>
  <c r="L22" i="20"/>
  <c r="N20" i="20"/>
  <c r="L20" i="20"/>
  <c r="N17" i="20"/>
  <c r="L17" i="20"/>
  <c r="O14" i="20"/>
  <c r="N14" i="20"/>
  <c r="L14" i="20"/>
  <c r="N12" i="20"/>
  <c r="L12" i="20"/>
  <c r="O8" i="20"/>
  <c r="N8" i="20"/>
  <c r="M8" i="20"/>
  <c r="L8" i="20"/>
  <c r="O6" i="20"/>
  <c r="N6" i="20"/>
  <c r="M6" i="20"/>
  <c r="L6" i="20"/>
  <c r="K147" i="20"/>
  <c r="P146" i="20" l="1"/>
  <c r="P151" i="20" s="1"/>
  <c r="L37" i="20"/>
  <c r="D44" i="72"/>
  <c r="D46" i="72" s="1"/>
  <c r="H10" i="73"/>
  <c r="E10" i="73"/>
  <c r="L147" i="20"/>
  <c r="I8" i="73"/>
  <c r="E29" i="72"/>
  <c r="D10" i="73"/>
  <c r="N147" i="20" s="1"/>
  <c r="S8" i="20"/>
  <c r="O9" i="20"/>
  <c r="C18" i="66"/>
  <c r="C19" i="66" s="1"/>
  <c r="C20" i="66" s="1"/>
  <c r="C21" i="66" s="1"/>
  <c r="C22" i="66" s="1"/>
  <c r="C23" i="66" s="1"/>
  <c r="C24" i="66" s="1"/>
  <c r="C25" i="66" s="1"/>
  <c r="C26" i="66" s="1"/>
  <c r="C27" i="66" s="1"/>
  <c r="C28" i="66" s="1"/>
  <c r="I10" i="73"/>
  <c r="D27" i="79"/>
  <c r="M145" i="20"/>
  <c r="N23" i="20"/>
  <c r="L9" i="20"/>
  <c r="M9" i="20"/>
  <c r="N9" i="20"/>
  <c r="O145" i="20"/>
  <c r="L23" i="20"/>
  <c r="N145" i="20"/>
  <c r="L145" i="20"/>
  <c r="M147" i="20"/>
  <c r="L38" i="20" l="1"/>
  <c r="L52" i="20" s="1"/>
  <c r="L146" i="20" s="1"/>
  <c r="C46" i="72"/>
  <c r="E29" i="66"/>
  <c r="E30" i="66" s="1"/>
  <c r="E31" i="66" s="1"/>
  <c r="C29" i="66"/>
  <c r="C30" i="66" s="1"/>
  <c r="C31" i="66" s="1"/>
  <c r="C32" i="66" s="1"/>
  <c r="C33" i="66" s="1"/>
  <c r="C34" i="66" s="1"/>
  <c r="C35" i="66" s="1"/>
  <c r="C36" i="66" s="1"/>
  <c r="C37" i="66" s="1"/>
  <c r="C38" i="66" s="1"/>
  <c r="C39" i="66" s="1"/>
  <c r="C40" i="66" s="1"/>
  <c r="C41" i="66" s="1"/>
  <c r="C42" i="66" s="1"/>
  <c r="C43" i="66" s="1"/>
  <c r="C44" i="66" s="1"/>
  <c r="C45" i="66" s="1"/>
  <c r="C46" i="66" s="1"/>
  <c r="C47" i="66" s="1"/>
  <c r="C48" i="66" s="1"/>
  <c r="C49" i="66" s="1"/>
  <c r="C50" i="66" s="1"/>
  <c r="C51" i="66" s="1"/>
  <c r="C52" i="66" s="1"/>
  <c r="D44" i="79"/>
  <c r="D32" i="79"/>
  <c r="D52" i="79"/>
  <c r="D38" i="79"/>
  <c r="D49" i="79"/>
  <c r="D47" i="79"/>
  <c r="D34" i="79"/>
  <c r="D33" i="79"/>
  <c r="D43" i="79"/>
  <c r="D31" i="79"/>
  <c r="D41" i="79"/>
  <c r="D40" i="79"/>
  <c r="D39" i="79"/>
  <c r="D54" i="79"/>
  <c r="D42" i="79"/>
  <c r="D30" i="79"/>
  <c r="D53" i="79"/>
  <c r="D51" i="79"/>
  <c r="D50" i="79"/>
  <c r="D37" i="79"/>
  <c r="D48" i="79"/>
  <c r="D36" i="79"/>
  <c r="D35" i="79"/>
  <c r="D46" i="79"/>
  <c r="D45" i="79"/>
  <c r="P50" i="78"/>
  <c r="O30" i="78"/>
  <c r="S44" i="20" s="1"/>
  <c r="O29" i="78"/>
  <c r="S42" i="20" s="1"/>
  <c r="D55" i="79" l="1"/>
  <c r="D57" i="79" s="1"/>
  <c r="O37" i="78" l="1"/>
  <c r="S60" i="20" s="1"/>
  <c r="K52" i="78"/>
  <c r="O48" i="78"/>
  <c r="O14" i="78"/>
  <c r="S12" i="20" s="1"/>
  <c r="O15" i="78"/>
  <c r="S14" i="20" s="1"/>
  <c r="O16" i="78"/>
  <c r="S17" i="20" s="1"/>
  <c r="O17" i="78"/>
  <c r="S20" i="20" s="1"/>
  <c r="O18" i="78"/>
  <c r="S22" i="20" s="1"/>
  <c r="S23" i="20" s="1"/>
  <c r="O22" i="78"/>
  <c r="S28" i="20" s="1"/>
  <c r="O23" i="78"/>
  <c r="S30" i="20" s="1"/>
  <c r="O24" i="78"/>
  <c r="S32" i="20" s="1"/>
  <c r="O25" i="78"/>
  <c r="S34" i="20" s="1"/>
  <c r="O26" i="78"/>
  <c r="S36" i="20" s="1"/>
  <c r="O27" i="78"/>
  <c r="S38" i="20" s="1"/>
  <c r="O28" i="78"/>
  <c r="S40" i="20" s="1"/>
  <c r="O31" i="78"/>
  <c r="S46" i="20" s="1"/>
  <c r="O32" i="78"/>
  <c r="S49" i="20" s="1"/>
  <c r="O33" i="78"/>
  <c r="S51" i="20" s="1"/>
  <c r="O38" i="78"/>
  <c r="S74" i="20" s="1"/>
  <c r="O39" i="78"/>
  <c r="S89" i="20" s="1"/>
  <c r="O40" i="78"/>
  <c r="S105" i="20" s="1"/>
  <c r="O41" i="78"/>
  <c r="S118" i="20" s="1"/>
  <c r="O42" i="78"/>
  <c r="S124" i="20" s="1"/>
  <c r="O43" i="78"/>
  <c r="S134" i="20" s="1"/>
  <c r="O44" i="78"/>
  <c r="S136" i="20" s="1"/>
  <c r="O45" i="78"/>
  <c r="S144" i="20" s="1"/>
  <c r="O9" i="78"/>
  <c r="D52" i="78"/>
  <c r="K135" i="20"/>
  <c r="K109" i="20"/>
  <c r="K118" i="20" s="1"/>
  <c r="K92" i="20"/>
  <c r="K86" i="20"/>
  <c r="K77" i="20"/>
  <c r="K67" i="20"/>
  <c r="D4" i="35"/>
  <c r="K136" i="20" l="1"/>
  <c r="S145" i="20"/>
  <c r="S6" i="20"/>
  <c r="S9" i="20" s="1"/>
  <c r="O50" i="78"/>
  <c r="O52" i="78"/>
  <c r="O54" i="78" s="1"/>
  <c r="K89" i="20"/>
  <c r="S52" i="20"/>
  <c r="P56" i="78"/>
  <c r="J12" i="20"/>
  <c r="S146" i="20" l="1"/>
  <c r="E21" i="35"/>
  <c r="D5" i="35"/>
  <c r="K21" i="20" s="1"/>
  <c r="Q21" i="20" s="1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S147" i="20" l="1"/>
  <c r="K5" i="20" l="1"/>
  <c r="A78" i="20"/>
  <c r="B78" i="20"/>
  <c r="A25" i="20"/>
  <c r="C25" i="20"/>
  <c r="A26" i="20"/>
  <c r="C26" i="20"/>
  <c r="K6" i="20" l="1"/>
  <c r="Q5" i="20"/>
  <c r="D78" i="20"/>
  <c r="D26" i="20"/>
  <c r="D25" i="20"/>
  <c r="K25" i="20" l="1"/>
  <c r="Q25" i="20" s="1"/>
  <c r="K26" i="20"/>
  <c r="Q26" i="20" s="1"/>
  <c r="K27" i="20"/>
  <c r="Q27" i="20" s="1"/>
  <c r="D53" i="75" l="1"/>
  <c r="O49" i="20"/>
  <c r="O52" i="20" s="1"/>
  <c r="O22" i="20"/>
  <c r="O20" i="20"/>
  <c r="O17" i="20"/>
  <c r="N36" i="20" l="1"/>
  <c r="O12" i="20" l="1"/>
  <c r="O23" i="20" s="1"/>
  <c r="O146" i="20" s="1"/>
  <c r="N32" i="20"/>
  <c r="N52" i="20" s="1"/>
  <c r="N146" i="20" s="1"/>
  <c r="M50" i="20"/>
  <c r="M51" i="20" s="1"/>
  <c r="M26" i="20"/>
  <c r="M28" i="20" s="1"/>
  <c r="M18" i="20"/>
  <c r="M20" i="20" s="1"/>
  <c r="M15" i="20"/>
  <c r="M17" i="20" s="1"/>
  <c r="M13" i="20"/>
  <c r="M14" i="20" s="1"/>
  <c r="M10" i="20"/>
  <c r="M12" i="20" s="1"/>
  <c r="M23" i="20" l="1"/>
  <c r="M33" i="20"/>
  <c r="M34" i="20" s="1"/>
  <c r="M31" i="20"/>
  <c r="M32" i="20" s="1"/>
  <c r="M29" i="20"/>
  <c r="M30" i="20" s="1"/>
  <c r="M35" i="20"/>
  <c r="M36" i="20" s="1"/>
  <c r="M52" i="20" l="1"/>
  <c r="M146" i="20" s="1"/>
  <c r="N151" i="20"/>
  <c r="O151" i="20"/>
  <c r="M151" i="20" l="1"/>
  <c r="AE42" i="46" l="1"/>
  <c r="B7" i="20"/>
  <c r="AE27" i="46" l="1"/>
  <c r="AE25" i="46"/>
  <c r="AE36" i="46"/>
  <c r="AE32" i="46"/>
  <c r="R32" i="46"/>
  <c r="AE21" i="46"/>
  <c r="AE19" i="46"/>
  <c r="AE17" i="46"/>
  <c r="AE14" i="46"/>
  <c r="P10" i="68" l="1"/>
  <c r="Q10" i="68" s="1"/>
  <c r="Q11" i="68"/>
  <c r="P12" i="68"/>
  <c r="Q12" i="68" s="1"/>
  <c r="Q13" i="68"/>
  <c r="P15" i="68"/>
  <c r="Q15" i="68" s="1"/>
  <c r="Q16" i="68" s="1"/>
  <c r="P17" i="68"/>
  <c r="Q17" i="68" s="1"/>
  <c r="Q18" i="68" s="1"/>
  <c r="P19" i="68"/>
  <c r="Q19" i="68" s="1"/>
  <c r="Q20" i="68" s="1"/>
  <c r="P21" i="68"/>
  <c r="Q21" i="68" s="1"/>
  <c r="Q22" i="68" s="1"/>
  <c r="P23" i="68"/>
  <c r="Q23" i="68" s="1"/>
  <c r="Q24" i="68" s="1"/>
  <c r="P25" i="68"/>
  <c r="Q25" i="68" s="1"/>
  <c r="Q26" i="68" s="1"/>
  <c r="P27" i="68"/>
  <c r="Q27" i="68" s="1"/>
  <c r="Q28" i="68" s="1"/>
  <c r="P29" i="68"/>
  <c r="Q29" i="68" s="1"/>
  <c r="Q30" i="68" s="1"/>
  <c r="P31" i="68"/>
  <c r="Q31" i="68" s="1"/>
  <c r="Q32" i="68" s="1"/>
  <c r="P33" i="68"/>
  <c r="Q33" i="68" s="1"/>
  <c r="Q34" i="68" s="1"/>
  <c r="P35" i="68"/>
  <c r="Q35" i="68" s="1"/>
  <c r="Q36" i="68" s="1"/>
  <c r="Q38" i="68"/>
  <c r="P39" i="68"/>
  <c r="Q39" i="68" s="1"/>
  <c r="P41" i="68"/>
  <c r="Q41" i="68" s="1"/>
  <c r="Q42" i="68" s="1"/>
  <c r="P43" i="68"/>
  <c r="Q43" i="68" s="1"/>
  <c r="Q44" i="68" s="1"/>
  <c r="P45" i="68"/>
  <c r="Q45" i="68" s="1"/>
  <c r="Q46" i="68" s="1"/>
  <c r="P47" i="68"/>
  <c r="Q47" i="68" s="1"/>
  <c r="Q48" i="68" s="1"/>
  <c r="P49" i="68"/>
  <c r="Q49" i="68" s="1"/>
  <c r="Q50" i="68" s="1"/>
  <c r="P51" i="68"/>
  <c r="Q51" i="68" s="1"/>
  <c r="Q52" i="68" s="1"/>
  <c r="P54" i="68"/>
  <c r="Q54" i="68" s="1"/>
  <c r="Q55" i="68" s="1"/>
  <c r="P56" i="68"/>
  <c r="Q56" i="68" s="1"/>
  <c r="Q57" i="68"/>
  <c r="P59" i="68"/>
  <c r="Q59" i="68" s="1"/>
  <c r="Q60" i="68" s="1"/>
  <c r="P61" i="68"/>
  <c r="Q61" i="68" s="1"/>
  <c r="Q62" i="68" s="1"/>
  <c r="P63" i="68"/>
  <c r="Q63" i="68" s="1"/>
  <c r="Q64" i="68" s="1"/>
  <c r="P65" i="68"/>
  <c r="Q65" i="68"/>
  <c r="Q66" i="68" s="1"/>
  <c r="P67" i="68"/>
  <c r="Q67" i="68" s="1"/>
  <c r="Q68" i="68" s="1"/>
  <c r="P81" i="68"/>
  <c r="Q81" i="68" s="1"/>
  <c r="Q82" i="68" s="1"/>
  <c r="P83" i="68"/>
  <c r="Q83" i="68" s="1"/>
  <c r="Q84" i="68" s="1"/>
  <c r="P85" i="68"/>
  <c r="Q85" i="68" s="1"/>
  <c r="Q86" i="68" s="1"/>
  <c r="P87" i="68"/>
  <c r="Q87" i="68" s="1"/>
  <c r="Q88" i="68" s="1"/>
  <c r="P89" i="68"/>
  <c r="Q89" i="68" s="1"/>
  <c r="Q90" i="68" s="1"/>
  <c r="P91" i="68"/>
  <c r="Q91" i="68" s="1"/>
  <c r="Q92" i="68" s="1"/>
  <c r="P93" i="68"/>
  <c r="Q93" i="68" s="1"/>
  <c r="Q94" i="68" s="1"/>
  <c r="P95" i="68"/>
  <c r="Q95" i="68" s="1"/>
  <c r="Q96" i="68" s="1"/>
  <c r="P97" i="68"/>
  <c r="Q97" i="68" s="1"/>
  <c r="Q98" i="68" s="1"/>
  <c r="P100" i="68"/>
  <c r="Q100" i="68" s="1"/>
  <c r="P101" i="68"/>
  <c r="Q101" i="68" s="1"/>
  <c r="P103" i="68"/>
  <c r="Q103" i="68" s="1"/>
  <c r="Q104" i="68" s="1"/>
  <c r="P105" i="68"/>
  <c r="Q105" i="68" s="1"/>
  <c r="Q106" i="68" s="1"/>
  <c r="P107" i="68"/>
  <c r="Q107" i="68" s="1"/>
  <c r="Q108" i="68" s="1"/>
  <c r="P109" i="68"/>
  <c r="Q109" i="68" s="1"/>
  <c r="Q110" i="68" s="1"/>
  <c r="P111" i="68"/>
  <c r="Q111" i="68" s="1"/>
  <c r="Q112" i="68" s="1"/>
  <c r="P114" i="68"/>
  <c r="Q114" i="68" s="1"/>
  <c r="Q115" i="68" s="1"/>
  <c r="Q116" i="68" s="1"/>
  <c r="Q40" i="68" l="1"/>
  <c r="Q58" i="68"/>
  <c r="Q120" i="68"/>
  <c r="Q102" i="68"/>
  <c r="Q113" i="68" s="1"/>
  <c r="Q53" i="68"/>
  <c r="Q69" i="68"/>
  <c r="Q99" i="68"/>
  <c r="Q14" i="68"/>
  <c r="Q37" i="68" l="1"/>
  <c r="Q71" i="68" s="1"/>
  <c r="Q117" i="68"/>
  <c r="Q118" i="68" s="1"/>
  <c r="Q121" i="68" l="1"/>
  <c r="Q70" i="68"/>
  <c r="AE47" i="46"/>
  <c r="AE15" i="46"/>
  <c r="AE16" i="46"/>
  <c r="AE18" i="46"/>
  <c r="AE20" i="46"/>
  <c r="AE13" i="46"/>
  <c r="F18" i="22" l="1"/>
  <c r="N10" i="22"/>
  <c r="M10" i="22"/>
  <c r="B58" i="46"/>
  <c r="R58" i="46" s="1"/>
  <c r="B57" i="46"/>
  <c r="B56" i="46"/>
  <c r="C54" i="20"/>
  <c r="C55" i="20"/>
  <c r="C56" i="20"/>
  <c r="C57" i="20"/>
  <c r="C58" i="20"/>
  <c r="C59" i="20"/>
  <c r="R36" i="46"/>
  <c r="B21" i="46"/>
  <c r="R21" i="46" s="1"/>
  <c r="B19" i="46"/>
  <c r="R19" i="46" s="1"/>
  <c r="B17" i="46"/>
  <c r="R17" i="46" s="1"/>
  <c r="B14" i="46"/>
  <c r="R14" i="46" s="1"/>
  <c r="O52" i="46"/>
  <c r="B63" i="46"/>
  <c r="R63" i="46" s="1"/>
  <c r="B54" i="46"/>
  <c r="B55" i="46"/>
  <c r="B30" i="46"/>
  <c r="R30" i="46" s="1"/>
  <c r="B31" i="46"/>
  <c r="R31" i="46" s="1"/>
  <c r="B33" i="46"/>
  <c r="R33" i="46" s="1"/>
  <c r="B34" i="46"/>
  <c r="R34" i="46" s="1"/>
  <c r="B35" i="46"/>
  <c r="R35" i="46" s="1"/>
  <c r="B37" i="46"/>
  <c r="R37" i="46" s="1"/>
  <c r="B25" i="46"/>
  <c r="R25" i="46" s="1"/>
  <c r="B26" i="46"/>
  <c r="R26" i="46" s="1"/>
  <c r="B27" i="46"/>
  <c r="R27" i="46" s="1"/>
  <c r="B28" i="46"/>
  <c r="R28" i="46" s="1"/>
  <c r="B29" i="46"/>
  <c r="R29" i="46" s="1"/>
  <c r="R22" i="46"/>
  <c r="A143" i="20"/>
  <c r="A130" i="20"/>
  <c r="D130" i="20" s="1"/>
  <c r="A131" i="20"/>
  <c r="D131" i="20" s="1"/>
  <c r="A132" i="20"/>
  <c r="D132" i="20" s="1"/>
  <c r="A133" i="20"/>
  <c r="D133" i="20" s="1"/>
  <c r="A121" i="20"/>
  <c r="D121" i="20" s="1"/>
  <c r="A122" i="20"/>
  <c r="D122" i="20" s="1"/>
  <c r="A123" i="20"/>
  <c r="D123" i="20" s="1"/>
  <c r="A114" i="20"/>
  <c r="D114" i="20" s="1"/>
  <c r="A115" i="20"/>
  <c r="D115" i="20" s="1"/>
  <c r="A116" i="20"/>
  <c r="D116" i="20" s="1"/>
  <c r="A117" i="20"/>
  <c r="D117" i="20" s="1"/>
  <c r="A103" i="20"/>
  <c r="D103" i="20" s="1"/>
  <c r="A104" i="20"/>
  <c r="D104" i="20" s="1"/>
  <c r="A87" i="20"/>
  <c r="B87" i="20"/>
  <c r="A88" i="20"/>
  <c r="B88" i="20"/>
  <c r="D87" i="20" l="1"/>
  <c r="D88" i="20"/>
  <c r="K56" i="20" l="1"/>
  <c r="Q56" i="20" s="1"/>
  <c r="L151" i="20"/>
  <c r="K16" i="20"/>
  <c r="Q16" i="20" s="1"/>
  <c r="K41" i="20"/>
  <c r="K55" i="20"/>
  <c r="Q55" i="20" s="1"/>
  <c r="K24" i="20"/>
  <c r="K48" i="20"/>
  <c r="Q48" i="20" s="1"/>
  <c r="K7" i="20"/>
  <c r="K50" i="20"/>
  <c r="K29" i="20"/>
  <c r="K53" i="20"/>
  <c r="Q53" i="20" s="1"/>
  <c r="K31" i="20"/>
  <c r="K10" i="20"/>
  <c r="Q10" i="20" s="1"/>
  <c r="K33" i="20"/>
  <c r="K59" i="20"/>
  <c r="Q59" i="20" s="1"/>
  <c r="K11" i="20"/>
  <c r="Q11" i="20" s="1"/>
  <c r="K35" i="20"/>
  <c r="K58" i="20"/>
  <c r="Q58" i="20" s="1"/>
  <c r="K13" i="20"/>
  <c r="K37" i="20"/>
  <c r="K57" i="20"/>
  <c r="Q57" i="20" s="1"/>
  <c r="K39" i="20"/>
  <c r="K15" i="20"/>
  <c r="K18" i="20"/>
  <c r="Q18" i="20" s="1"/>
  <c r="K43" i="20"/>
  <c r="K54" i="20"/>
  <c r="Q54" i="20" s="1"/>
  <c r="K19" i="20"/>
  <c r="Q19" i="20" s="1"/>
  <c r="K45" i="20"/>
  <c r="K22" i="20"/>
  <c r="K47" i="20"/>
  <c r="Q47" i="20" s="1"/>
  <c r="K30" i="20" l="1"/>
  <c r="Q29" i="20"/>
  <c r="K51" i="20"/>
  <c r="Q50" i="20"/>
  <c r="K32" i="20"/>
  <c r="Q31" i="20"/>
  <c r="K8" i="20"/>
  <c r="K9" i="20" s="1"/>
  <c r="Q7" i="20"/>
  <c r="R7" i="20" s="1"/>
  <c r="K28" i="20"/>
  <c r="Q24" i="20"/>
  <c r="R24" i="20" s="1"/>
  <c r="K36" i="20"/>
  <c r="Q35" i="20"/>
  <c r="K40" i="20"/>
  <c r="Q39" i="20"/>
  <c r="K42" i="20"/>
  <c r="Q41" i="20"/>
  <c r="K17" i="20"/>
  <c r="Q15" i="20"/>
  <c r="K34" i="20"/>
  <c r="Q33" i="20"/>
  <c r="K38" i="20"/>
  <c r="Q37" i="20"/>
  <c r="K14" i="20"/>
  <c r="Q13" i="20"/>
  <c r="K46" i="20"/>
  <c r="Q45" i="20"/>
  <c r="K44" i="20"/>
  <c r="Q43" i="20"/>
  <c r="K97" i="20"/>
  <c r="K60" i="20"/>
  <c r="K20" i="20"/>
  <c r="K74" i="20"/>
  <c r="K144" i="20"/>
  <c r="K49" i="20"/>
  <c r="K12" i="20"/>
  <c r="K52" i="20" l="1"/>
  <c r="K23" i="20"/>
  <c r="K145" i="20"/>
  <c r="Q30" i="20"/>
  <c r="Q136" i="20"/>
  <c r="R8" i="20"/>
  <c r="T8" i="20" s="1"/>
  <c r="Q8" i="20"/>
  <c r="J30" i="20"/>
  <c r="Q6" i="20"/>
  <c r="K146" i="20" l="1"/>
  <c r="Q9" i="20"/>
  <c r="Q89" i="20"/>
  <c r="Q74" i="20"/>
  <c r="J6" i="20"/>
  <c r="J74" i="20"/>
  <c r="A142" i="20"/>
  <c r="D142" i="20" s="1"/>
  <c r="D143" i="20"/>
  <c r="A135" i="20"/>
  <c r="D135" i="20" s="1"/>
  <c r="A129" i="20"/>
  <c r="D129" i="20" s="1"/>
  <c r="A120" i="20"/>
  <c r="D120" i="20" s="1"/>
  <c r="A111" i="20"/>
  <c r="D111" i="20" s="1"/>
  <c r="A112" i="20"/>
  <c r="D112" i="20" s="1"/>
  <c r="A113" i="20"/>
  <c r="D113" i="20" s="1"/>
  <c r="A100" i="20"/>
  <c r="D100" i="20" s="1"/>
  <c r="A101" i="20"/>
  <c r="D101" i="20" s="1"/>
  <c r="A102" i="20"/>
  <c r="D102" i="20" s="1"/>
  <c r="A86" i="20"/>
  <c r="B86" i="20"/>
  <c r="A57" i="20"/>
  <c r="A58" i="20"/>
  <c r="A59" i="20"/>
  <c r="F44" i="20"/>
  <c r="F46" i="20"/>
  <c r="G9" i="20"/>
  <c r="H9" i="20"/>
  <c r="I9" i="20"/>
  <c r="C29" i="20"/>
  <c r="A29" i="20"/>
  <c r="D86" i="20" l="1"/>
  <c r="D58" i="20"/>
  <c r="D57" i="20"/>
  <c r="G57" i="20" s="1"/>
  <c r="D59" i="20"/>
  <c r="D29" i="20"/>
  <c r="N11" i="22"/>
  <c r="G59" i="20" l="1"/>
  <c r="H59" i="20"/>
  <c r="G58" i="20"/>
  <c r="H58" i="20"/>
  <c r="H57" i="20"/>
  <c r="I57" i="20" s="1"/>
  <c r="R57" i="20" s="1"/>
  <c r="I58" i="20" l="1"/>
  <c r="R58" i="20" s="1"/>
  <c r="I59" i="20"/>
  <c r="R59" i="20" s="1"/>
  <c r="T57" i="20"/>
  <c r="N59" i="22"/>
  <c r="N58" i="22"/>
  <c r="N57" i="22"/>
  <c r="N56" i="22"/>
  <c r="N55" i="22"/>
  <c r="N54" i="22"/>
  <c r="N53" i="22"/>
  <c r="N52" i="22"/>
  <c r="N51" i="22"/>
  <c r="N47" i="22"/>
  <c r="N46" i="22"/>
  <c r="N45" i="22"/>
  <c r="N44" i="22"/>
  <c r="N43" i="22"/>
  <c r="N42" i="22"/>
  <c r="N41" i="22"/>
  <c r="N40" i="22"/>
  <c r="N39" i="22"/>
  <c r="N38" i="22"/>
  <c r="N37" i="22"/>
  <c r="N33" i="22"/>
  <c r="N32" i="22"/>
  <c r="N31" i="22"/>
  <c r="N30" i="22"/>
  <c r="N29" i="22"/>
  <c r="N28" i="22"/>
  <c r="N27" i="22"/>
  <c r="N26" i="22"/>
  <c r="N22" i="22"/>
  <c r="N21" i="22"/>
  <c r="N20" i="22"/>
  <c r="N19" i="22"/>
  <c r="N18" i="22"/>
  <c r="N17" i="22"/>
  <c r="N16" i="22"/>
  <c r="T58" i="20" l="1"/>
  <c r="N23" i="22"/>
  <c r="N48" i="22"/>
  <c r="N60" i="22"/>
  <c r="N34" i="22"/>
  <c r="T59" i="20"/>
  <c r="N62" i="22"/>
  <c r="N65" i="22" l="1"/>
  <c r="AE62" i="46"/>
  <c r="AE61" i="46"/>
  <c r="AE60" i="46"/>
  <c r="AE59" i="46"/>
  <c r="AE57" i="46"/>
  <c r="AE56" i="46"/>
  <c r="AE55" i="46"/>
  <c r="AE64" i="46"/>
  <c r="AE51" i="46"/>
  <c r="AE50" i="46"/>
  <c r="AE49" i="46"/>
  <c r="AE48" i="46"/>
  <c r="AE46" i="46"/>
  <c r="AE45" i="46"/>
  <c r="AE44" i="46"/>
  <c r="AE43" i="46"/>
  <c r="AE38" i="46"/>
  <c r="AE37" i="46"/>
  <c r="AE35" i="46"/>
  <c r="AE34" i="46"/>
  <c r="AE33" i="46"/>
  <c r="AE31" i="46"/>
  <c r="AE30" i="46"/>
  <c r="AE29" i="46"/>
  <c r="AE28" i="46"/>
  <c r="AE26" i="46"/>
  <c r="AE22" i="46"/>
  <c r="AE54" i="46"/>
  <c r="M62" i="22" l="1"/>
  <c r="M54" i="22"/>
  <c r="M55" i="22"/>
  <c r="M56" i="22"/>
  <c r="M57" i="22"/>
  <c r="M58" i="22"/>
  <c r="M59" i="22"/>
  <c r="M53" i="22"/>
  <c r="M52" i="22"/>
  <c r="M51" i="22"/>
  <c r="M38" i="22"/>
  <c r="M39" i="22"/>
  <c r="M40" i="22"/>
  <c r="M41" i="22"/>
  <c r="M42" i="22"/>
  <c r="M43" i="22"/>
  <c r="M44" i="22"/>
  <c r="M45" i="22"/>
  <c r="M46" i="22"/>
  <c r="M47" i="22"/>
  <c r="M37" i="22"/>
  <c r="M27" i="22"/>
  <c r="M28" i="22"/>
  <c r="M29" i="22"/>
  <c r="M30" i="22"/>
  <c r="M31" i="22"/>
  <c r="M32" i="22"/>
  <c r="M33" i="22"/>
  <c r="M26" i="22"/>
  <c r="M17" i="22"/>
  <c r="M18" i="22"/>
  <c r="M19" i="22"/>
  <c r="M20" i="22"/>
  <c r="M21" i="22"/>
  <c r="M22" i="22"/>
  <c r="M16" i="22"/>
  <c r="F64" i="22"/>
  <c r="F62" i="22"/>
  <c r="F59" i="22"/>
  <c r="F58" i="22"/>
  <c r="F57" i="22"/>
  <c r="F56" i="22"/>
  <c r="F55" i="22"/>
  <c r="F54" i="22"/>
  <c r="F53" i="22"/>
  <c r="F52" i="22"/>
  <c r="F51" i="22"/>
  <c r="F47" i="22"/>
  <c r="F46" i="22"/>
  <c r="F45" i="22"/>
  <c r="F44" i="22"/>
  <c r="F43" i="22"/>
  <c r="F42" i="22"/>
  <c r="F41" i="22"/>
  <c r="F40" i="22"/>
  <c r="F39" i="22"/>
  <c r="F38" i="22"/>
  <c r="F37" i="22"/>
  <c r="F33" i="22"/>
  <c r="F32" i="22"/>
  <c r="F31" i="22"/>
  <c r="F30" i="22"/>
  <c r="F29" i="22"/>
  <c r="F28" i="22"/>
  <c r="F27" i="22"/>
  <c r="F26" i="22"/>
  <c r="F22" i="22"/>
  <c r="F21" i="22"/>
  <c r="F20" i="22"/>
  <c r="F19" i="22"/>
  <c r="F17" i="22"/>
  <c r="F16" i="22"/>
  <c r="F10" i="22"/>
  <c r="F11" i="22" s="1"/>
  <c r="M60" i="22" l="1"/>
  <c r="F34" i="22"/>
  <c r="F23" i="22"/>
  <c r="F60" i="22"/>
  <c r="M23" i="22"/>
  <c r="M34" i="22"/>
  <c r="F48" i="22"/>
  <c r="M48" i="22"/>
  <c r="M11" i="22"/>
  <c r="F65" i="22" l="1"/>
  <c r="M65" i="22"/>
  <c r="S151" i="20" l="1"/>
  <c r="R56" i="46" l="1"/>
  <c r="B13" i="46" l="1"/>
  <c r="R13" i="46" s="1"/>
  <c r="B15" i="46"/>
  <c r="R15" i="46" s="1"/>
  <c r="B16" i="46"/>
  <c r="R16" i="46" s="1"/>
  <c r="B18" i="46"/>
  <c r="R18" i="46" s="1"/>
  <c r="B20" i="46"/>
  <c r="R20" i="46" s="1"/>
  <c r="R23" i="46"/>
  <c r="R24" i="46"/>
  <c r="R38" i="46"/>
  <c r="R39" i="46"/>
  <c r="R40" i="46"/>
  <c r="R41" i="46"/>
  <c r="B42" i="46"/>
  <c r="R42" i="46" s="1"/>
  <c r="R43" i="46"/>
  <c r="R44" i="46"/>
  <c r="R45" i="46"/>
  <c r="R46" i="46"/>
  <c r="R47" i="46"/>
  <c r="R48" i="46"/>
  <c r="R49" i="46"/>
  <c r="B50" i="46"/>
  <c r="R50" i="46" s="1"/>
  <c r="R51" i="46"/>
  <c r="R52" i="46"/>
  <c r="R53" i="46"/>
  <c r="R54" i="46"/>
  <c r="R55" i="46"/>
  <c r="R57" i="46"/>
  <c r="B59" i="46"/>
  <c r="R59" i="46" s="1"/>
  <c r="B60" i="46"/>
  <c r="R60" i="46" s="1"/>
  <c r="B61" i="46"/>
  <c r="R61" i="46" s="1"/>
  <c r="B62" i="46"/>
  <c r="R62" i="46" s="1"/>
  <c r="R64" i="46"/>
  <c r="R65" i="46"/>
  <c r="R66" i="46"/>
  <c r="R67" i="46"/>
  <c r="R68" i="46"/>
  <c r="R69" i="46"/>
  <c r="G78" i="20" l="1"/>
  <c r="H78" i="20"/>
  <c r="I78" i="20"/>
  <c r="R78" i="20" s="1"/>
  <c r="I25" i="20"/>
  <c r="R25" i="20" s="1"/>
  <c r="G25" i="20"/>
  <c r="H25" i="20"/>
  <c r="I29" i="20"/>
  <c r="R29" i="20" s="1"/>
  <c r="H29" i="20"/>
  <c r="G29" i="20"/>
  <c r="H122" i="20"/>
  <c r="I143" i="20"/>
  <c r="R143" i="20" s="1"/>
  <c r="I122" i="20"/>
  <c r="R122" i="20" s="1"/>
  <c r="G100" i="20"/>
  <c r="I112" i="20"/>
  <c r="R112" i="20" s="1"/>
  <c r="I101" i="20"/>
  <c r="R101" i="20" s="1"/>
  <c r="G117" i="20"/>
  <c r="G86" i="20"/>
  <c r="H86" i="20"/>
  <c r="I111" i="20"/>
  <c r="R111" i="20" s="1"/>
  <c r="H142" i="20"/>
  <c r="H103" i="20"/>
  <c r="I117" i="20"/>
  <c r="R117" i="20" s="1"/>
  <c r="G130" i="20"/>
  <c r="I130" i="20"/>
  <c r="R130" i="20" s="1"/>
  <c r="H135" i="20"/>
  <c r="H120" i="20"/>
  <c r="I100" i="20"/>
  <c r="R100" i="20" s="1"/>
  <c r="H88" i="20"/>
  <c r="I88" i="20"/>
  <c r="R88" i="20" s="1"/>
  <c r="G111" i="20"/>
  <c r="H111" i="20"/>
  <c r="G102" i="20"/>
  <c r="I123" i="20"/>
  <c r="R123" i="20" s="1"/>
  <c r="G104" i="20"/>
  <c r="I121" i="20"/>
  <c r="R121" i="20" s="1"/>
  <c r="H112" i="20"/>
  <c r="H116" i="20"/>
  <c r="I104" i="20"/>
  <c r="R104" i="20" s="1"/>
  <c r="G133" i="20"/>
  <c r="G131" i="20"/>
  <c r="G116" i="20"/>
  <c r="I113" i="20"/>
  <c r="R113" i="20" s="1"/>
  <c r="G120" i="20"/>
  <c r="H117" i="20"/>
  <c r="G132" i="20"/>
  <c r="G87" i="20"/>
  <c r="G122" i="20"/>
  <c r="I103" i="20"/>
  <c r="R103" i="20" s="1"/>
  <c r="H100" i="20"/>
  <c r="I102" i="20"/>
  <c r="R102" i="20" s="1"/>
  <c r="G103" i="20"/>
  <c r="G113" i="20"/>
  <c r="G114" i="20"/>
  <c r="I86" i="20"/>
  <c r="R86" i="20" s="1"/>
  <c r="H87" i="20"/>
  <c r="I116" i="20"/>
  <c r="R116" i="20" s="1"/>
  <c r="I115" i="20"/>
  <c r="R115" i="20" s="1"/>
  <c r="G123" i="20"/>
  <c r="G143" i="20"/>
  <c r="I120" i="20"/>
  <c r="R120" i="20" s="1"/>
  <c r="G101" i="20"/>
  <c r="H101" i="20"/>
  <c r="G112" i="20"/>
  <c r="I87" i="20"/>
  <c r="R87" i="20" s="1"/>
  <c r="H123" i="20"/>
  <c r="I142" i="20"/>
  <c r="R142" i="20" s="1"/>
  <c r="I133" i="20"/>
  <c r="R133" i="20" s="1"/>
  <c r="G142" i="20"/>
  <c r="H143" i="20"/>
  <c r="I131" i="20"/>
  <c r="R131" i="20" s="1"/>
  <c r="I135" i="20"/>
  <c r="G115" i="20"/>
  <c r="G121" i="20"/>
  <c r="H114" i="20"/>
  <c r="H131" i="20"/>
  <c r="I132" i="20"/>
  <c r="R132" i="20" s="1"/>
  <c r="H130" i="20"/>
  <c r="H113" i="20"/>
  <c r="H104" i="20"/>
  <c r="G88" i="20"/>
  <c r="I114" i="20"/>
  <c r="R114" i="20" s="1"/>
  <c r="H133" i="20"/>
  <c r="H121" i="20"/>
  <c r="H102" i="20"/>
  <c r="G135" i="20"/>
  <c r="H132" i="20"/>
  <c r="H115" i="20"/>
  <c r="U33" i="44"/>
  <c r="S33" i="44"/>
  <c r="G32" i="44"/>
  <c r="H32" i="44" s="1"/>
  <c r="G31" i="44"/>
  <c r="H31" i="44" s="1"/>
  <c r="G30" i="44"/>
  <c r="H30" i="44" s="1"/>
  <c r="G29" i="44"/>
  <c r="H29" i="44" s="1"/>
  <c r="G28" i="44"/>
  <c r="H28" i="44" s="1"/>
  <c r="G27" i="44"/>
  <c r="H27" i="44" s="1"/>
  <c r="G26" i="44"/>
  <c r="H26" i="44" s="1"/>
  <c r="G25" i="44"/>
  <c r="H25" i="44" s="1"/>
  <c r="G24" i="44"/>
  <c r="H24" i="44" s="1"/>
  <c r="G23" i="44"/>
  <c r="H23" i="44" s="1"/>
  <c r="G22" i="44"/>
  <c r="H22" i="44" s="1"/>
  <c r="G21" i="44"/>
  <c r="H21" i="44" s="1"/>
  <c r="G20" i="44"/>
  <c r="H20" i="44" s="1"/>
  <c r="G19" i="44"/>
  <c r="H19" i="44" s="1"/>
  <c r="G18" i="44"/>
  <c r="H18" i="44" s="1"/>
  <c r="G17" i="44"/>
  <c r="H17" i="44" s="1"/>
  <c r="G16" i="44"/>
  <c r="H16" i="44" s="1"/>
  <c r="G15" i="44"/>
  <c r="H15" i="44" s="1"/>
  <c r="G14" i="44"/>
  <c r="H14" i="44" s="1"/>
  <c r="G13" i="44"/>
  <c r="H13" i="44" s="1"/>
  <c r="G12" i="44"/>
  <c r="H12" i="44" s="1"/>
  <c r="G11" i="44"/>
  <c r="H11" i="44" s="1"/>
  <c r="G10" i="44"/>
  <c r="H10" i="44" s="1"/>
  <c r="G9" i="44"/>
  <c r="H9" i="44" s="1"/>
  <c r="G8" i="44"/>
  <c r="H8" i="44" s="1"/>
  <c r="G7" i="44"/>
  <c r="H7" i="44" s="1"/>
  <c r="G6" i="44"/>
  <c r="H6" i="44" s="1"/>
  <c r="G5" i="44"/>
  <c r="H5" i="44" s="1"/>
  <c r="X136" i="20" l="1"/>
  <c r="AA136" i="20" s="1"/>
  <c r="AC136" i="20" s="1"/>
  <c r="R135" i="20"/>
  <c r="R136" i="20" s="1"/>
  <c r="T136" i="20" s="1"/>
  <c r="R30" i="20"/>
  <c r="T30" i="20" s="1"/>
  <c r="B2" i="43"/>
  <c r="B3" i="43"/>
  <c r="B4" i="43"/>
  <c r="B5" i="43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45" i="43"/>
  <c r="B46" i="43"/>
  <c r="B47" i="43"/>
  <c r="B48" i="43"/>
  <c r="B49" i="43"/>
  <c r="B50" i="43"/>
  <c r="B51" i="43"/>
  <c r="B52" i="43"/>
  <c r="B53" i="43"/>
  <c r="B54" i="43"/>
  <c r="B55" i="43"/>
  <c r="B56" i="43"/>
  <c r="B57" i="43"/>
  <c r="B58" i="43"/>
  <c r="B59" i="43"/>
  <c r="B60" i="43"/>
  <c r="B61" i="43"/>
  <c r="B62" i="43"/>
  <c r="B63" i="43"/>
  <c r="B64" i="43"/>
  <c r="B65" i="43"/>
  <c r="B66" i="43"/>
  <c r="B67" i="43"/>
  <c r="B68" i="43"/>
  <c r="B69" i="43"/>
  <c r="B70" i="43"/>
  <c r="B71" i="43"/>
  <c r="B72" i="43"/>
  <c r="B73" i="43"/>
  <c r="B74" i="43"/>
  <c r="B75" i="43"/>
  <c r="B76" i="43"/>
  <c r="B77" i="43"/>
  <c r="B78" i="43"/>
  <c r="B79" i="43"/>
  <c r="B80" i="43"/>
  <c r="B81" i="43"/>
  <c r="B82" i="43"/>
  <c r="B83" i="43"/>
  <c r="B84" i="43"/>
  <c r="B85" i="43"/>
  <c r="B86" i="43"/>
  <c r="B87" i="43"/>
  <c r="B88" i="43"/>
  <c r="B89" i="43"/>
  <c r="B90" i="43"/>
  <c r="B91" i="43"/>
  <c r="B92" i="43"/>
  <c r="B93" i="43"/>
  <c r="B94" i="43"/>
  <c r="B95" i="43"/>
  <c r="B96" i="43"/>
  <c r="B97" i="43"/>
  <c r="B98" i="43"/>
  <c r="B99" i="43"/>
  <c r="B100" i="43"/>
  <c r="B101" i="43"/>
  <c r="B102" i="43"/>
  <c r="B103" i="43"/>
  <c r="B104" i="43"/>
  <c r="B105" i="43"/>
  <c r="B106" i="43"/>
  <c r="B107" i="43"/>
  <c r="B108" i="43"/>
  <c r="B109" i="43"/>
  <c r="B110" i="43"/>
  <c r="B111" i="43"/>
  <c r="B112" i="43"/>
  <c r="B113" i="43"/>
  <c r="B114" i="43"/>
  <c r="B115" i="43"/>
  <c r="B116" i="43"/>
  <c r="B117" i="43"/>
  <c r="B118" i="43"/>
  <c r="B119" i="43"/>
  <c r="B120" i="43"/>
  <c r="B121" i="43"/>
  <c r="B122" i="43"/>
  <c r="B123" i="43"/>
  <c r="B124" i="43"/>
  <c r="B125" i="43"/>
  <c r="B126" i="43"/>
  <c r="B127" i="43"/>
  <c r="B128" i="43"/>
  <c r="B129" i="43"/>
  <c r="B130" i="43"/>
  <c r="B131" i="43"/>
  <c r="B132" i="43"/>
  <c r="B133" i="43"/>
  <c r="B134" i="43"/>
  <c r="B135" i="43"/>
  <c r="B136" i="43"/>
  <c r="B137" i="43"/>
  <c r="B138" i="43"/>
  <c r="B139" i="43"/>
  <c r="B140" i="43"/>
  <c r="B141" i="43"/>
  <c r="B142" i="43"/>
  <c r="B143" i="43"/>
  <c r="B144" i="43"/>
  <c r="B145" i="43"/>
  <c r="B146" i="43"/>
  <c r="B147" i="43"/>
  <c r="B148" i="43"/>
  <c r="B149" i="43"/>
  <c r="B150" i="43"/>
  <c r="B151" i="43"/>
  <c r="B152" i="43"/>
  <c r="B153" i="43"/>
  <c r="B154" i="43"/>
  <c r="B155" i="43"/>
  <c r="B156" i="43"/>
  <c r="B157" i="43"/>
  <c r="B158" i="43"/>
  <c r="B159" i="43"/>
  <c r="B160" i="43"/>
  <c r="B161" i="43"/>
  <c r="B162" i="43"/>
  <c r="B163" i="43"/>
  <c r="B164" i="43"/>
  <c r="B165" i="43"/>
  <c r="B166" i="43"/>
  <c r="B167" i="43"/>
  <c r="B168" i="43"/>
  <c r="B169" i="43"/>
  <c r="B170" i="43"/>
  <c r="B171" i="43"/>
  <c r="B172" i="43"/>
  <c r="B173" i="43"/>
  <c r="B174" i="43"/>
  <c r="B175" i="43"/>
  <c r="B176" i="43"/>
  <c r="B177" i="43"/>
  <c r="B178" i="43"/>
  <c r="B179" i="43"/>
  <c r="B180" i="43"/>
  <c r="B181" i="43"/>
  <c r="B182" i="43"/>
  <c r="B183" i="43"/>
  <c r="B184" i="43"/>
  <c r="B185" i="43"/>
  <c r="B186" i="43"/>
  <c r="B187" i="43"/>
  <c r="B188" i="43"/>
  <c r="B189" i="43"/>
  <c r="B190" i="43"/>
  <c r="B191" i="43"/>
  <c r="B192" i="43"/>
  <c r="B193" i="43"/>
  <c r="B194" i="43"/>
  <c r="B195" i="43"/>
  <c r="B196" i="43"/>
  <c r="B197" i="43"/>
  <c r="B198" i="43"/>
  <c r="B199" i="43"/>
  <c r="B200" i="43"/>
  <c r="B201" i="43"/>
  <c r="B202" i="43"/>
  <c r="B203" i="43"/>
  <c r="B204" i="43"/>
  <c r="B205" i="43"/>
  <c r="B206" i="43"/>
  <c r="B207" i="43"/>
  <c r="B208" i="43"/>
  <c r="B209" i="43"/>
  <c r="B210" i="43"/>
  <c r="B211" i="43"/>
  <c r="B212" i="43"/>
  <c r="B213" i="43"/>
  <c r="B214" i="43"/>
  <c r="B215" i="43"/>
  <c r="B216" i="43"/>
  <c r="B217" i="43"/>
  <c r="B218" i="43"/>
  <c r="B219" i="43"/>
  <c r="B220" i="43"/>
  <c r="B221" i="43"/>
  <c r="B222" i="43"/>
  <c r="B223" i="43"/>
  <c r="B224" i="43"/>
  <c r="B225" i="43"/>
  <c r="B226" i="43"/>
  <c r="B227" i="43"/>
  <c r="B228" i="43"/>
  <c r="B229" i="43"/>
  <c r="B230" i="43"/>
  <c r="B231" i="43"/>
  <c r="B232" i="43"/>
  <c r="B233" i="43"/>
  <c r="B234" i="43"/>
  <c r="B235" i="43"/>
  <c r="B236" i="43"/>
  <c r="B237" i="43"/>
  <c r="B238" i="43"/>
  <c r="B239" i="43"/>
  <c r="B240" i="43"/>
  <c r="B241" i="43"/>
  <c r="B242" i="43"/>
  <c r="B243" i="43"/>
  <c r="B244" i="43"/>
  <c r="B245" i="43"/>
  <c r="B246" i="43"/>
  <c r="B247" i="43"/>
  <c r="B248" i="43"/>
  <c r="B249" i="43"/>
  <c r="B250" i="43"/>
  <c r="B251" i="43"/>
  <c r="B252" i="43"/>
  <c r="B253" i="43"/>
  <c r="B254" i="43"/>
  <c r="B255" i="43"/>
  <c r="B256" i="43"/>
  <c r="B257" i="43"/>
  <c r="B258" i="43"/>
  <c r="B259" i="43"/>
  <c r="B260" i="43"/>
  <c r="B261" i="43"/>
  <c r="B262" i="43"/>
  <c r="B263" i="43"/>
  <c r="B264" i="43"/>
  <c r="B265" i="43"/>
  <c r="A139" i="20"/>
  <c r="D139" i="20" s="1"/>
  <c r="A128" i="20"/>
  <c r="D128" i="20" s="1"/>
  <c r="F134" i="20"/>
  <c r="F124" i="20"/>
  <c r="A82" i="20"/>
  <c r="B82" i="20"/>
  <c r="A83" i="20"/>
  <c r="B83" i="20"/>
  <c r="A84" i="20"/>
  <c r="B84" i="20"/>
  <c r="A85" i="20"/>
  <c r="B85" i="20"/>
  <c r="F89" i="20"/>
  <c r="C43" i="20"/>
  <c r="A43" i="20"/>
  <c r="F8" i="20"/>
  <c r="Q34" i="20" l="1"/>
  <c r="Q36" i="20"/>
  <c r="Q38" i="20"/>
  <c r="Q40" i="20"/>
  <c r="Q42" i="20"/>
  <c r="Q46" i="20"/>
  <c r="Q32" i="20"/>
  <c r="Q124" i="20"/>
  <c r="Q12" i="20"/>
  <c r="Q14" i="20"/>
  <c r="Q51" i="20"/>
  <c r="Q144" i="20"/>
  <c r="Q20" i="20"/>
  <c r="Q97" i="20"/>
  <c r="Q28" i="20"/>
  <c r="Q118" i="20"/>
  <c r="Q105" i="20"/>
  <c r="J44" i="20"/>
  <c r="J22" i="20"/>
  <c r="J14" i="20"/>
  <c r="J144" i="20"/>
  <c r="J20" i="20"/>
  <c r="J124" i="20"/>
  <c r="J17" i="20"/>
  <c r="J134" i="20"/>
  <c r="J49" i="20"/>
  <c r="J118" i="20"/>
  <c r="J105" i="20"/>
  <c r="J89" i="20"/>
  <c r="J60" i="20"/>
  <c r="J51" i="20"/>
  <c r="J46" i="20"/>
  <c r="J40" i="20"/>
  <c r="Y40" i="20" s="1"/>
  <c r="J42" i="20"/>
  <c r="Y42" i="20" s="1"/>
  <c r="J38" i="20"/>
  <c r="Y38" i="20" s="1"/>
  <c r="J36" i="20"/>
  <c r="J28" i="20"/>
  <c r="J34" i="20"/>
  <c r="J32" i="20"/>
  <c r="Y32" i="20" s="1"/>
  <c r="H128" i="20"/>
  <c r="G128" i="20"/>
  <c r="I128" i="20"/>
  <c r="R128" i="20" s="1"/>
  <c r="G129" i="20"/>
  <c r="H129" i="20"/>
  <c r="I129" i="20"/>
  <c r="R129" i="20" s="1"/>
  <c r="G139" i="20"/>
  <c r="I139" i="20"/>
  <c r="R139" i="20" s="1"/>
  <c r="H139" i="20"/>
  <c r="J8" i="20"/>
  <c r="J97" i="20"/>
  <c r="J136" i="20"/>
  <c r="D82" i="20"/>
  <c r="D85" i="20"/>
  <c r="D83" i="20"/>
  <c r="D84" i="20"/>
  <c r="D43" i="20"/>
  <c r="Q49" i="20" l="1"/>
  <c r="Q44" i="20"/>
  <c r="Q17" i="20"/>
  <c r="Q60" i="20"/>
  <c r="Q134" i="20"/>
  <c r="Q22" i="20"/>
  <c r="J145" i="20"/>
  <c r="J9" i="20"/>
  <c r="J23" i="20"/>
  <c r="I84" i="20"/>
  <c r="R84" i="20" s="1"/>
  <c r="H84" i="20"/>
  <c r="G84" i="20"/>
  <c r="I43" i="20"/>
  <c r="R43" i="20" s="1"/>
  <c r="G43" i="20"/>
  <c r="H43" i="20"/>
  <c r="I83" i="20"/>
  <c r="R83" i="20" s="1"/>
  <c r="H83" i="20"/>
  <c r="G83" i="20"/>
  <c r="G85" i="20"/>
  <c r="H85" i="20"/>
  <c r="I85" i="20"/>
  <c r="R85" i="20" s="1"/>
  <c r="I82" i="20"/>
  <c r="R82" i="20" s="1"/>
  <c r="H82" i="20"/>
  <c r="G82" i="20"/>
  <c r="Q145" i="20" l="1"/>
  <c r="Q23" i="20"/>
  <c r="Q52" i="20"/>
  <c r="R44" i="20"/>
  <c r="T44" i="20" s="1"/>
  <c r="A140" i="20"/>
  <c r="D140" i="20" s="1"/>
  <c r="A141" i="20"/>
  <c r="D141" i="20" s="1"/>
  <c r="A138" i="20"/>
  <c r="D138" i="20" s="1"/>
  <c r="A137" i="20"/>
  <c r="D137" i="20" s="1"/>
  <c r="A125" i="20"/>
  <c r="D125" i="20" s="1"/>
  <c r="A126" i="20"/>
  <c r="D126" i="20" s="1"/>
  <c r="A127" i="20"/>
  <c r="D127" i="20" s="1"/>
  <c r="A119" i="20"/>
  <c r="A106" i="20"/>
  <c r="D106" i="20" s="1"/>
  <c r="A107" i="20"/>
  <c r="D107" i="20" s="1"/>
  <c r="A108" i="20"/>
  <c r="D108" i="20" s="1"/>
  <c r="A109" i="20"/>
  <c r="D109" i="20" s="1"/>
  <c r="A110" i="20"/>
  <c r="D110" i="20" s="1"/>
  <c r="A98" i="20"/>
  <c r="D98" i="20" s="1"/>
  <c r="A99" i="20"/>
  <c r="D99" i="20" s="1"/>
  <c r="B91" i="20"/>
  <c r="B92" i="20"/>
  <c r="B93" i="20"/>
  <c r="B94" i="20"/>
  <c r="B95" i="20"/>
  <c r="B96" i="20"/>
  <c r="B90" i="20"/>
  <c r="A91" i="20"/>
  <c r="A92" i="20"/>
  <c r="A93" i="20"/>
  <c r="A94" i="20"/>
  <c r="A95" i="20"/>
  <c r="A96" i="20"/>
  <c r="A90" i="20"/>
  <c r="B75" i="20"/>
  <c r="B76" i="20"/>
  <c r="B77" i="20"/>
  <c r="B79" i="20"/>
  <c r="B80" i="20"/>
  <c r="B81" i="20"/>
  <c r="A75" i="20"/>
  <c r="A76" i="20"/>
  <c r="A77" i="20"/>
  <c r="A79" i="20"/>
  <c r="A80" i="20"/>
  <c r="A81" i="20"/>
  <c r="A61" i="20"/>
  <c r="A62" i="20"/>
  <c r="A63" i="20"/>
  <c r="A64" i="20"/>
  <c r="A65" i="20"/>
  <c r="A66" i="20"/>
  <c r="D66" i="20" s="1"/>
  <c r="A67" i="20"/>
  <c r="D67" i="20" s="1"/>
  <c r="A68" i="20"/>
  <c r="D68" i="20" s="1"/>
  <c r="A69" i="20"/>
  <c r="D69" i="20" s="1"/>
  <c r="A70" i="20"/>
  <c r="D70" i="20" s="1"/>
  <c r="A71" i="20"/>
  <c r="D71" i="20" s="1"/>
  <c r="A72" i="20"/>
  <c r="D72" i="20" s="1"/>
  <c r="A73" i="20"/>
  <c r="D73" i="20" s="1"/>
  <c r="A54" i="20"/>
  <c r="A55" i="20"/>
  <c r="A56" i="20"/>
  <c r="C53" i="20"/>
  <c r="A53" i="20"/>
  <c r="C50" i="20"/>
  <c r="A50" i="20"/>
  <c r="A48" i="20"/>
  <c r="C48" i="20"/>
  <c r="C47" i="20"/>
  <c r="A47" i="20"/>
  <c r="C45" i="20"/>
  <c r="A45" i="20"/>
  <c r="C41" i="20"/>
  <c r="A41" i="20"/>
  <c r="C39" i="20"/>
  <c r="A39" i="20"/>
  <c r="C37" i="20"/>
  <c r="A37" i="20"/>
  <c r="C35" i="20"/>
  <c r="A35" i="20"/>
  <c r="C33" i="20"/>
  <c r="A33" i="20"/>
  <c r="C31" i="20"/>
  <c r="A31" i="20"/>
  <c r="C27" i="20"/>
  <c r="A27" i="20"/>
  <c r="C24" i="20"/>
  <c r="A24" i="20"/>
  <c r="C21" i="20"/>
  <c r="A21" i="20"/>
  <c r="C19" i="20"/>
  <c r="A19" i="20"/>
  <c r="C18" i="20"/>
  <c r="A18" i="20"/>
  <c r="C16" i="20"/>
  <c r="A16" i="20"/>
  <c r="C15" i="20"/>
  <c r="A15" i="20"/>
  <c r="C13" i="20"/>
  <c r="A13" i="20"/>
  <c r="C11" i="20"/>
  <c r="A11" i="20"/>
  <c r="C10" i="20"/>
  <c r="A10" i="20"/>
  <c r="A7" i="20"/>
  <c r="C7" i="20"/>
  <c r="Q146" i="20" l="1"/>
  <c r="G73" i="20"/>
  <c r="H73" i="20"/>
  <c r="I73" i="20"/>
  <c r="R73" i="20" s="1"/>
  <c r="I70" i="20"/>
  <c r="R70" i="20" s="1"/>
  <c r="G70" i="20"/>
  <c r="H70" i="20"/>
  <c r="I126" i="20"/>
  <c r="R126" i="20" s="1"/>
  <c r="G126" i="20"/>
  <c r="H126" i="20"/>
  <c r="I140" i="20"/>
  <c r="R140" i="20" s="1"/>
  <c r="G140" i="20"/>
  <c r="H140" i="20"/>
  <c r="I98" i="20"/>
  <c r="R98" i="20" s="1"/>
  <c r="H98" i="20"/>
  <c r="G98" i="20"/>
  <c r="H108" i="20"/>
  <c r="G108" i="20"/>
  <c r="I108" i="20"/>
  <c r="R108" i="20" s="1"/>
  <c r="H125" i="20"/>
  <c r="G125" i="20"/>
  <c r="I125" i="20"/>
  <c r="R125" i="20" s="1"/>
  <c r="I67" i="20"/>
  <c r="R67" i="20" s="1"/>
  <c r="H67" i="20"/>
  <c r="G67" i="20"/>
  <c r="I72" i="20"/>
  <c r="R72" i="20" s="1"/>
  <c r="H72" i="20"/>
  <c r="G72" i="20"/>
  <c r="G68" i="20"/>
  <c r="I68" i="20"/>
  <c r="R68" i="20" s="1"/>
  <c r="H68" i="20"/>
  <c r="I107" i="20"/>
  <c r="R107" i="20" s="1"/>
  <c r="H107" i="20"/>
  <c r="G107" i="20"/>
  <c r="I138" i="20"/>
  <c r="R138" i="20" s="1"/>
  <c r="H138" i="20"/>
  <c r="G138" i="20"/>
  <c r="G99" i="20"/>
  <c r="H99" i="20"/>
  <c r="I99" i="20"/>
  <c r="R99" i="20" s="1"/>
  <c r="H69" i="20"/>
  <c r="G69" i="20"/>
  <c r="I69" i="20"/>
  <c r="R69" i="20" s="1"/>
  <c r="H110" i="20"/>
  <c r="G110" i="20"/>
  <c r="I110" i="20"/>
  <c r="R110" i="20" s="1"/>
  <c r="I137" i="20"/>
  <c r="R137" i="20" s="1"/>
  <c r="G137" i="20"/>
  <c r="H137" i="20"/>
  <c r="G66" i="20"/>
  <c r="H66" i="20"/>
  <c r="I66" i="20"/>
  <c r="R66" i="20" s="1"/>
  <c r="G71" i="20"/>
  <c r="H71" i="20"/>
  <c r="I71" i="20"/>
  <c r="R71" i="20" s="1"/>
  <c r="G109" i="20"/>
  <c r="H109" i="20"/>
  <c r="I109" i="20"/>
  <c r="R109" i="20" s="1"/>
  <c r="H106" i="20"/>
  <c r="G106" i="20"/>
  <c r="I106" i="20"/>
  <c r="R106" i="20" s="1"/>
  <c r="G127" i="20"/>
  <c r="I127" i="20"/>
  <c r="R127" i="20" s="1"/>
  <c r="H127" i="20"/>
  <c r="G141" i="20"/>
  <c r="H141" i="20"/>
  <c r="I141" i="20"/>
  <c r="R141" i="20" s="1"/>
  <c r="D53" i="20"/>
  <c r="D92" i="20"/>
  <c r="D81" i="20"/>
  <c r="D79" i="20"/>
  <c r="D95" i="20"/>
  <c r="D91" i="20"/>
  <c r="D96" i="20"/>
  <c r="D37" i="20"/>
  <c r="D76" i="20"/>
  <c r="D93" i="20"/>
  <c r="D18" i="20"/>
  <c r="D35" i="20"/>
  <c r="D47" i="20"/>
  <c r="D50" i="20"/>
  <c r="D80" i="20"/>
  <c r="D16" i="20"/>
  <c r="D19" i="20"/>
  <c r="D21" i="20"/>
  <c r="D39" i="20"/>
  <c r="D41" i="20"/>
  <c r="D45" i="20"/>
  <c r="D94" i="20"/>
  <c r="D11" i="20"/>
  <c r="D27" i="20"/>
  <c r="D31" i="20"/>
  <c r="D33" i="20"/>
  <c r="D77" i="20"/>
  <c r="D13" i="20"/>
  <c r="D10" i="20"/>
  <c r="D15" i="20"/>
  <c r="D48" i="20"/>
  <c r="D7" i="20"/>
  <c r="D24" i="20"/>
  <c r="D56" i="20"/>
  <c r="D54" i="20"/>
  <c r="D55" i="20"/>
  <c r="R134" i="20" l="1"/>
  <c r="T134" i="20" s="1"/>
  <c r="R118" i="20"/>
  <c r="T118" i="20" s="1"/>
  <c r="R144" i="20"/>
  <c r="T144" i="20" s="1"/>
  <c r="R105" i="20"/>
  <c r="T105" i="20" s="1"/>
  <c r="I47" i="20"/>
  <c r="R47" i="20" s="1"/>
  <c r="H47" i="20"/>
  <c r="G47" i="20"/>
  <c r="I48" i="20"/>
  <c r="R48" i="20" s="1"/>
  <c r="H48" i="20"/>
  <c r="G48" i="20"/>
  <c r="I31" i="20"/>
  <c r="H31" i="20"/>
  <c r="G31" i="20"/>
  <c r="H27" i="20"/>
  <c r="I27" i="20"/>
  <c r="R27" i="20" s="1"/>
  <c r="G27" i="20"/>
  <c r="G56" i="20"/>
  <c r="H56" i="20"/>
  <c r="G10" i="20"/>
  <c r="H50" i="20"/>
  <c r="G50" i="20"/>
  <c r="I50" i="20"/>
  <c r="R50" i="20" s="1"/>
  <c r="G54" i="20"/>
  <c r="H54" i="20"/>
  <c r="G55" i="20"/>
  <c r="H55" i="20"/>
  <c r="G53" i="20"/>
  <c r="H53" i="20"/>
  <c r="G13" i="20"/>
  <c r="I13" i="20"/>
  <c r="R13" i="20" s="1"/>
  <c r="H13" i="20"/>
  <c r="H37" i="20"/>
  <c r="I37" i="20"/>
  <c r="G37" i="20"/>
  <c r="G21" i="20"/>
  <c r="I21" i="20"/>
  <c r="R21" i="20" s="1"/>
  <c r="H21" i="20"/>
  <c r="I76" i="20"/>
  <c r="R76" i="20" s="1"/>
  <c r="G76" i="20"/>
  <c r="H76" i="20"/>
  <c r="I91" i="20"/>
  <c r="H91" i="20"/>
  <c r="G91" i="20"/>
  <c r="G33" i="20"/>
  <c r="I33" i="20"/>
  <c r="R33" i="20" s="1"/>
  <c r="H33" i="20"/>
  <c r="I11" i="20"/>
  <c r="R11" i="20" s="1"/>
  <c r="G11" i="20"/>
  <c r="H11" i="20"/>
  <c r="H18" i="20"/>
  <c r="I18" i="20"/>
  <c r="R18" i="20" s="1"/>
  <c r="G18" i="20"/>
  <c r="G93" i="20"/>
  <c r="I93" i="20"/>
  <c r="H93" i="20"/>
  <c r="G95" i="20"/>
  <c r="I95" i="20"/>
  <c r="H95" i="20"/>
  <c r="H24" i="20"/>
  <c r="G15" i="20"/>
  <c r="I15" i="20"/>
  <c r="R15" i="20" s="1"/>
  <c r="H15" i="20"/>
  <c r="I26" i="20"/>
  <c r="R26" i="20" s="1"/>
  <c r="H26" i="20"/>
  <c r="G26" i="20"/>
  <c r="H35" i="20"/>
  <c r="G35" i="20"/>
  <c r="I35" i="20"/>
  <c r="R35" i="20" s="1"/>
  <c r="H96" i="20"/>
  <c r="I96" i="20"/>
  <c r="G96" i="20"/>
  <c r="H79" i="20"/>
  <c r="I79" i="20"/>
  <c r="R79" i="20" s="1"/>
  <c r="G79" i="20"/>
  <c r="H16" i="20"/>
  <c r="I16" i="20"/>
  <c r="R16" i="20" s="1"/>
  <c r="G16" i="20"/>
  <c r="I92" i="20"/>
  <c r="H92" i="20"/>
  <c r="G92" i="20"/>
  <c r="H45" i="20"/>
  <c r="G45" i="20"/>
  <c r="I45" i="20"/>
  <c r="R45" i="20" s="1"/>
  <c r="H39" i="20"/>
  <c r="G39" i="20"/>
  <c r="I39" i="20"/>
  <c r="R39" i="20" s="1"/>
  <c r="G80" i="20"/>
  <c r="H80" i="20"/>
  <c r="I80" i="20"/>
  <c r="R80" i="20" s="1"/>
  <c r="I10" i="20"/>
  <c r="R10" i="20" s="1"/>
  <c r="H10" i="20"/>
  <c r="G77" i="20"/>
  <c r="I77" i="20"/>
  <c r="R77" i="20" s="1"/>
  <c r="H77" i="20"/>
  <c r="H94" i="20"/>
  <c r="G94" i="20"/>
  <c r="I94" i="20"/>
  <c r="I41" i="20"/>
  <c r="H41" i="20"/>
  <c r="G41" i="20"/>
  <c r="I19" i="20"/>
  <c r="R19" i="20" s="1"/>
  <c r="H19" i="20"/>
  <c r="G19" i="20"/>
  <c r="H81" i="20"/>
  <c r="G81" i="20"/>
  <c r="I81" i="20"/>
  <c r="R81" i="20" s="1"/>
  <c r="X38" i="20" l="1"/>
  <c r="AA38" i="20" s="1"/>
  <c r="AC38" i="20" s="1"/>
  <c r="R37" i="20"/>
  <c r="R38" i="20" s="1"/>
  <c r="T38" i="20" s="1"/>
  <c r="X42" i="20"/>
  <c r="AA42" i="20" s="1"/>
  <c r="AC42" i="20" s="1"/>
  <c r="R41" i="20"/>
  <c r="R42" i="20" s="1"/>
  <c r="T42" i="20" s="1"/>
  <c r="X32" i="20"/>
  <c r="AA32" i="20" s="1"/>
  <c r="AC32" i="20" s="1"/>
  <c r="R31" i="20"/>
  <c r="R32" i="20" s="1"/>
  <c r="T32" i="20" s="1"/>
  <c r="X40" i="20"/>
  <c r="AA40" i="20" s="1"/>
  <c r="AC40" i="20" s="1"/>
  <c r="R34" i="20"/>
  <c r="T34" i="20" s="1"/>
  <c r="R14" i="20"/>
  <c r="T14" i="20" s="1"/>
  <c r="R28" i="20"/>
  <c r="T28" i="20" s="1"/>
  <c r="R40" i="20"/>
  <c r="T40" i="20" s="1"/>
  <c r="R51" i="20"/>
  <c r="T51" i="20" s="1"/>
  <c r="R36" i="20"/>
  <c r="T36" i="20" s="1"/>
  <c r="R22" i="20"/>
  <c r="T22" i="20" s="1"/>
  <c r="R46" i="20"/>
  <c r="T46" i="20" s="1"/>
  <c r="R20" i="20"/>
  <c r="T20" i="20" s="1"/>
  <c r="R17" i="20"/>
  <c r="T17" i="20" s="1"/>
  <c r="R49" i="20"/>
  <c r="T49" i="20" s="1"/>
  <c r="R12" i="20"/>
  <c r="T12" i="20" s="1"/>
  <c r="I56" i="20"/>
  <c r="R56" i="20" s="1"/>
  <c r="I53" i="20"/>
  <c r="R53" i="20" s="1"/>
  <c r="I55" i="20"/>
  <c r="R55" i="20" s="1"/>
  <c r="I54" i="20"/>
  <c r="R54" i="20" s="1"/>
  <c r="R23" i="20" l="1"/>
  <c r="R52" i="20"/>
  <c r="R60" i="20"/>
  <c r="T60" i="20" s="1"/>
  <c r="T56" i="20"/>
  <c r="K24" i="34" l="1"/>
  <c r="K23" i="34"/>
  <c r="K18" i="34"/>
  <c r="K14" i="34"/>
  <c r="K38" i="34"/>
  <c r="K37" i="34"/>
  <c r="K35" i="34"/>
  <c r="K34" i="34"/>
  <c r="K32" i="34"/>
  <c r="K31" i="34"/>
  <c r="K30" i="34"/>
  <c r="K28" i="34"/>
  <c r="K26" i="34"/>
  <c r="K21" i="34"/>
  <c r="K20" i="34"/>
  <c r="K17" i="34"/>
  <c r="K16" i="34"/>
  <c r="K13" i="34"/>
  <c r="K12" i="34"/>
  <c r="P28" i="29" l="1"/>
  <c r="P27" i="29"/>
  <c r="N27" i="29"/>
  <c r="P26" i="29"/>
  <c r="N26" i="29"/>
  <c r="O16" i="29"/>
  <c r="O18" i="29" s="1"/>
  <c r="N16" i="29" l="1"/>
  <c r="N29" i="29"/>
  <c r="P29" i="29"/>
  <c r="F22" i="20" l="1"/>
  <c r="F144" i="20" l="1"/>
  <c r="F136" i="20"/>
  <c r="D119" i="20"/>
  <c r="F118" i="20"/>
  <c r="F105" i="20"/>
  <c r="F97" i="20"/>
  <c r="F74" i="20"/>
  <c r="D65" i="20"/>
  <c r="D64" i="20"/>
  <c r="D63" i="20"/>
  <c r="D62" i="20"/>
  <c r="D61" i="20"/>
  <c r="F60" i="20"/>
  <c r="F51" i="20"/>
  <c r="F49" i="20"/>
  <c r="F42" i="20"/>
  <c r="F40" i="20"/>
  <c r="F38" i="20"/>
  <c r="F36" i="20"/>
  <c r="F34" i="20"/>
  <c r="F32" i="20"/>
  <c r="F30" i="20"/>
  <c r="F28" i="20"/>
  <c r="F20" i="20"/>
  <c r="F17" i="20"/>
  <c r="F14" i="20"/>
  <c r="F12" i="20"/>
  <c r="F6" i="20"/>
  <c r="B5" i="20"/>
  <c r="A5" i="20"/>
  <c r="D5" i="20" s="1"/>
  <c r="C37" i="21" l="1"/>
  <c r="D20" i="21"/>
  <c r="C50" i="21"/>
  <c r="C35" i="21"/>
  <c r="C46" i="21"/>
  <c r="D41" i="21"/>
  <c r="J52" i="20"/>
  <c r="J146" i="20" s="1"/>
  <c r="G65" i="20"/>
  <c r="H65" i="20"/>
  <c r="I65" i="20"/>
  <c r="R65" i="20" s="1"/>
  <c r="C45" i="21"/>
  <c r="I119" i="20"/>
  <c r="R119" i="20" s="1"/>
  <c r="H119" i="20"/>
  <c r="G119" i="20"/>
  <c r="I63" i="20"/>
  <c r="R63" i="20" s="1"/>
  <c r="G63" i="20"/>
  <c r="H63" i="20"/>
  <c r="H64" i="20"/>
  <c r="I64" i="20"/>
  <c r="R64" i="20" s="1"/>
  <c r="G64" i="20"/>
  <c r="G61" i="20"/>
  <c r="H61" i="20"/>
  <c r="I61" i="20"/>
  <c r="R61" i="20" s="1"/>
  <c r="G62" i="20"/>
  <c r="H62" i="20"/>
  <c r="I62" i="20"/>
  <c r="R62" i="20" s="1"/>
  <c r="D75" i="20"/>
  <c r="D90" i="20"/>
  <c r="R124" i="20" l="1"/>
  <c r="T124" i="20" s="1"/>
  <c r="R74" i="20"/>
  <c r="T74" i="20" s="1"/>
  <c r="J151" i="20"/>
  <c r="G5" i="20"/>
  <c r="H5" i="20"/>
  <c r="I5" i="20"/>
  <c r="R5" i="20" s="1"/>
  <c r="I75" i="20"/>
  <c r="R75" i="20" s="1"/>
  <c r="H75" i="20"/>
  <c r="G75" i="20"/>
  <c r="H90" i="20"/>
  <c r="I90" i="20"/>
  <c r="G90" i="20"/>
  <c r="R6" i="20" l="1"/>
  <c r="T6" i="20" s="1"/>
  <c r="R89" i="20"/>
  <c r="D47" i="21"/>
  <c r="D48" i="21"/>
  <c r="C29" i="21"/>
  <c r="R145" i="20" l="1"/>
  <c r="T89" i="20"/>
  <c r="R9" i="20"/>
  <c r="C19" i="21"/>
  <c r="D43" i="21"/>
  <c r="R146" i="20" l="1"/>
  <c r="T148" i="20" s="1"/>
  <c r="K151" i="20"/>
  <c r="T53" i="20"/>
  <c r="D22" i="21"/>
  <c r="T55" i="20"/>
  <c r="T54" i="20"/>
  <c r="D24" i="21" l="1"/>
  <c r="D44" i="21"/>
  <c r="D39" i="21"/>
  <c r="D25" i="21"/>
  <c r="C38" i="21"/>
  <c r="C49" i="21"/>
  <c r="C28" i="21"/>
  <c r="D27" i="21"/>
  <c r="T23" i="20"/>
  <c r="C23" i="21"/>
  <c r="T9" i="20"/>
  <c r="D31" i="21" l="1"/>
  <c r="C36" i="21"/>
  <c r="D40" i="21"/>
  <c r="C30" i="21"/>
  <c r="D32" i="21"/>
  <c r="D34" i="21"/>
  <c r="T145" i="20"/>
  <c r="T52" i="20" l="1"/>
  <c r="T146" i="20" s="1"/>
  <c r="C54" i="21" l="1"/>
  <c r="D54" i="21"/>
  <c r="C56" i="21" l="1"/>
  <c r="D56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Ruiz, Cassandra</author>
    <author>Cada, David</author>
  </authors>
  <commentList>
    <comment ref="R90" authorId="0" shapeId="0" xr:uid="{889A9D9B-1A5D-4346-A9FE-473AA00328B0}">
      <text>
        <r>
          <rPr>
            <b/>
            <sz val="9"/>
            <color indexed="81"/>
            <rFont val="Tahoma"/>
            <family val="2"/>
          </rPr>
          <t>Ruiz, Cassandra: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</t>
        </r>
      </text>
    </comment>
    <comment ref="R91" authorId="1" shapeId="0" xr:uid="{CC3AEB8D-4AC6-4BAB-BC8A-8BAED77FFAEC}">
      <text>
        <r>
          <rPr>
            <b/>
            <sz val="9"/>
            <color indexed="81"/>
            <rFont val="Tahoma"/>
            <family val="2"/>
          </rPr>
          <t>Cada, David: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R92" authorId="1" shapeId="0" xr:uid="{9C292A4B-4D9B-4AA0-9243-6023A0E1539D}">
      <text>
        <r>
          <rPr>
            <b/>
            <sz val="9"/>
            <color indexed="81"/>
            <rFont val="Tahoma"/>
            <family val="2"/>
          </rPr>
          <t>Cada, David: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R93" authorId="1" shapeId="0" xr:uid="{D2413538-6A27-4138-B8BE-C1EAF7E4AD49}">
      <text>
        <r>
          <rPr>
            <b/>
            <sz val="9"/>
            <color indexed="81"/>
            <rFont val="Tahoma"/>
            <family val="2"/>
          </rPr>
          <t>Cada, David: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R94" authorId="1" shapeId="0" xr:uid="{22E30D0B-E83B-4BD1-BB7D-7C5908F6029A}">
      <text>
        <r>
          <rPr>
            <b/>
            <sz val="9"/>
            <color indexed="81"/>
            <rFont val="Tahoma"/>
            <family val="2"/>
          </rPr>
          <t>Cada, David: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R95" authorId="1" shapeId="0" xr:uid="{9856138B-1D3D-460B-95DB-EA840BD5AEAC}">
      <text>
        <r>
          <rPr>
            <b/>
            <sz val="9"/>
            <color indexed="81"/>
            <rFont val="Tahoma"/>
            <family val="2"/>
          </rPr>
          <t>Cada, David: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  <comment ref="R96" authorId="1" shapeId="0" xr:uid="{D029C921-6DC5-4E52-BB3A-C8FC41F9314D}">
      <text>
        <r>
          <rPr>
            <b/>
            <sz val="9"/>
            <color indexed="81"/>
            <rFont val="Tahoma"/>
            <family val="2"/>
          </rPr>
          <t>Cada, David:</t>
        </r>
        <r>
          <rPr>
            <sz val="9"/>
            <color indexed="81"/>
            <rFont val="Tahoma"/>
            <family val="2"/>
          </rPr>
          <t xml:space="preserve">
Expense removed - this is allocated via PA250. Treated identical to TEP rate case.
</t>
        </r>
      </text>
    </comment>
  </commentList>
</comments>
</file>

<file path=xl/sharedStrings.xml><?xml version="1.0" encoding="utf-8"?>
<sst xmlns="http://schemas.openxmlformats.org/spreadsheetml/2006/main" count="6822" uniqueCount="1413">
  <si>
    <t>Depreciation Method</t>
  </si>
  <si>
    <t>E303</t>
  </si>
  <si>
    <t>E311</t>
  </si>
  <si>
    <t>T1311ENSJN01000</t>
  </si>
  <si>
    <t>T1311XXSJN01000</t>
  </si>
  <si>
    <t>E312</t>
  </si>
  <si>
    <t>T1312ECSJN01000</t>
  </si>
  <si>
    <t>T1312ENSJN01000</t>
  </si>
  <si>
    <t>T1312XXSJN01000</t>
  </si>
  <si>
    <t>E314</t>
  </si>
  <si>
    <t>T1314ENSJN01000</t>
  </si>
  <si>
    <t>T1314XXSJN01000</t>
  </si>
  <si>
    <t>E315</t>
  </si>
  <si>
    <t>T1315ECSJN01000</t>
  </si>
  <si>
    <t>T1315XXSJN01000</t>
  </si>
  <si>
    <t>E316</t>
  </si>
  <si>
    <t>T1316XXSJN01000</t>
  </si>
  <si>
    <t>E341</t>
  </si>
  <si>
    <t>E343</t>
  </si>
  <si>
    <t>E345</t>
  </si>
  <si>
    <t>E352</t>
  </si>
  <si>
    <t>E353</t>
  </si>
  <si>
    <t>E362</t>
  </si>
  <si>
    <t>E364</t>
  </si>
  <si>
    <t>E365</t>
  </si>
  <si>
    <t>E366</t>
  </si>
  <si>
    <t>E367</t>
  </si>
  <si>
    <t>E368</t>
  </si>
  <si>
    <t>E369</t>
  </si>
  <si>
    <t>E373</t>
  </si>
  <si>
    <t>E390</t>
  </si>
  <si>
    <t>E391</t>
  </si>
  <si>
    <t>E392</t>
  </si>
  <si>
    <t>E393</t>
  </si>
  <si>
    <t>E394</t>
  </si>
  <si>
    <t>E396</t>
  </si>
  <si>
    <t>E397</t>
  </si>
  <si>
    <t>E398</t>
  </si>
  <si>
    <t>Account Description</t>
  </si>
  <si>
    <t>Net Salvage</t>
  </si>
  <si>
    <t>Total</t>
  </si>
  <si>
    <t>A</t>
  </si>
  <si>
    <t>B</t>
  </si>
  <si>
    <t>C</t>
  </si>
  <si>
    <t>D=B+C</t>
  </si>
  <si>
    <t>E</t>
  </si>
  <si>
    <t>F</t>
  </si>
  <si>
    <t>G=E+F</t>
  </si>
  <si>
    <t>DISTRIBUTION PLANT</t>
  </si>
  <si>
    <t>GENERAL PLANT</t>
  </si>
  <si>
    <t>← 15 Year Amortization →</t>
  </si>
  <si>
    <t>Location</t>
  </si>
  <si>
    <t>Plant FERC</t>
  </si>
  <si>
    <t>Concat</t>
  </si>
  <si>
    <t>Structures and Improvements</t>
  </si>
  <si>
    <t>Meters</t>
  </si>
  <si>
    <t>392.C1</t>
  </si>
  <si>
    <t>392.C2</t>
  </si>
  <si>
    <t>392.C3</t>
  </si>
  <si>
    <t>392.C5</t>
  </si>
  <si>
    <t>392.C6</t>
  </si>
  <si>
    <t>392.C7</t>
  </si>
  <si>
    <t>392.C9</t>
  </si>
  <si>
    <t>Stores Equipment</t>
  </si>
  <si>
    <t>Tools, Shop and Garage Equipment</t>
  </si>
  <si>
    <t>Laboratory Equipment</t>
  </si>
  <si>
    <t>Miscellaneous Equipment</t>
  </si>
  <si>
    <t>Transmission</t>
  </si>
  <si>
    <t>Distribution</t>
  </si>
  <si>
    <t>SJN01</t>
  </si>
  <si>
    <t xml:space="preserve"> </t>
  </si>
  <si>
    <t>GIL03</t>
  </si>
  <si>
    <t>GILCM</t>
  </si>
  <si>
    <t>00000</t>
  </si>
  <si>
    <t>Sub Account</t>
  </si>
  <si>
    <t>Calc</t>
  </si>
  <si>
    <t>S1</t>
  </si>
  <si>
    <t>S2</t>
  </si>
  <si>
    <t>Grand Total</t>
  </si>
  <si>
    <t>Row Labels</t>
  </si>
  <si>
    <t>description</t>
  </si>
  <si>
    <t>C3</t>
  </si>
  <si>
    <t>C8</t>
  </si>
  <si>
    <t>C5</t>
  </si>
  <si>
    <t>C1</t>
  </si>
  <si>
    <t>C9</t>
  </si>
  <si>
    <t>E391 - Office Furniture, Equipment</t>
  </si>
  <si>
    <t>E392 - Transportation Equipment</t>
  </si>
  <si>
    <t>E396 - Power Operated Equipment</t>
  </si>
  <si>
    <t>E398 - Miscellaneous Equipment</t>
  </si>
  <si>
    <t>depr_group_id</t>
  </si>
  <si>
    <t>bus_segment_id</t>
  </si>
  <si>
    <t>depr_summary_id</t>
  </si>
  <si>
    <t>Tab - Post Test Year_Pivot</t>
  </si>
  <si>
    <t>ADJUSTMENT NAME:</t>
  </si>
  <si>
    <t>ADJUSTMENT TO:</t>
  </si>
  <si>
    <t>DATE SUBMITTED:</t>
  </si>
  <si>
    <t>PREPARED BY:</t>
  </si>
  <si>
    <t>CHECKED BY:</t>
  </si>
  <si>
    <t>REVIEWED BY:</t>
  </si>
  <si>
    <t>FERC</t>
  </si>
  <si>
    <t>ACCT</t>
  </si>
  <si>
    <t>FERC ACCOUNT DESCRIPTION</t>
  </si>
  <si>
    <t>DEBIT</t>
  </si>
  <si>
    <t>CREDIT</t>
  </si>
  <si>
    <t>Power Operated Equipment</t>
  </si>
  <si>
    <t>1A</t>
  </si>
  <si>
    <t>390</t>
  </si>
  <si>
    <t>303</t>
  </si>
  <si>
    <t>Miscellaneous intangible plant</t>
  </si>
  <si>
    <t>341</t>
  </si>
  <si>
    <t>343</t>
  </si>
  <si>
    <t>344</t>
  </si>
  <si>
    <t>345</t>
  </si>
  <si>
    <t>352</t>
  </si>
  <si>
    <t>353</t>
  </si>
  <si>
    <t>355</t>
  </si>
  <si>
    <t>356</t>
  </si>
  <si>
    <t>360</t>
  </si>
  <si>
    <t>362</t>
  </si>
  <si>
    <t>364</t>
  </si>
  <si>
    <t>365</t>
  </si>
  <si>
    <t>366</t>
  </si>
  <si>
    <t>367</t>
  </si>
  <si>
    <t>368</t>
  </si>
  <si>
    <t>369</t>
  </si>
  <si>
    <t>Services</t>
  </si>
  <si>
    <t>370</t>
  </si>
  <si>
    <t>373</t>
  </si>
  <si>
    <t>391</t>
  </si>
  <si>
    <t>392</t>
  </si>
  <si>
    <t>397</t>
  </si>
  <si>
    <t>398</t>
  </si>
  <si>
    <t>Asset Cost</t>
  </si>
  <si>
    <t>Depr Rate</t>
  </si>
  <si>
    <t>Months Late</t>
  </si>
  <si>
    <t>OH</t>
  </si>
  <si>
    <t>INCOME STATEMENT PRO FORMA ADJUSTMENT</t>
  </si>
  <si>
    <t>Per Tab</t>
  </si>
  <si>
    <t>Expense to Proforma Cover</t>
  </si>
  <si>
    <t>Sum of Total</t>
  </si>
  <si>
    <t>Subtotal</t>
  </si>
  <si>
    <t>Total Tie Tab</t>
  </si>
  <si>
    <t>350</t>
  </si>
  <si>
    <t>354</t>
  </si>
  <si>
    <t>359</t>
  </si>
  <si>
    <t>COR Rate</t>
  </si>
  <si>
    <t>Total Rate</t>
  </si>
  <si>
    <t>Depr Summary Plant FERC</t>
  </si>
  <si>
    <t>Income Statement</t>
  </si>
  <si>
    <t>Depreciation_Amortization</t>
  </si>
  <si>
    <t>Rights of Way</t>
  </si>
  <si>
    <t>340</t>
  </si>
  <si>
    <t>342</t>
  </si>
  <si>
    <t>346</t>
  </si>
  <si>
    <t>361</t>
  </si>
  <si>
    <t xml:space="preserve">Structures and Improvements </t>
  </si>
  <si>
    <t>Office Furniture and Equipment</t>
  </si>
  <si>
    <t>393</t>
  </si>
  <si>
    <t>394</t>
  </si>
  <si>
    <t>Tools Shop and Garage Equipment</t>
  </si>
  <si>
    <t>395</t>
  </si>
  <si>
    <t>396</t>
  </si>
  <si>
    <t>Communication Equipment</t>
  </si>
  <si>
    <t>Ref</t>
  </si>
  <si>
    <t>D</t>
  </si>
  <si>
    <t>H</t>
  </si>
  <si>
    <t>I</t>
  </si>
  <si>
    <t>K</t>
  </si>
  <si>
    <t>L</t>
  </si>
  <si>
    <t>M</t>
  </si>
  <si>
    <t>N</t>
  </si>
  <si>
    <t>O</t>
  </si>
  <si>
    <t>BB</t>
  </si>
  <si>
    <t>CC</t>
  </si>
  <si>
    <t>SL</t>
  </si>
  <si>
    <t>Note: The total lines are calculated off the actual dollars sitting under the parent dimensions. This report displays 0 decimals, meaning there could be slight rounding variances between the detail and totals.</t>
  </si>
  <si>
    <t xml:space="preserve"> Total</t>
  </si>
  <si>
    <t xml:space="preserve">  Total General Plant</t>
  </si>
  <si>
    <t>E398_SP Miscellaneous Equipment</t>
  </si>
  <si>
    <t>E397_SP Communication Equipment</t>
  </si>
  <si>
    <t>E396_SP Power Operated Equipment</t>
  </si>
  <si>
    <t>E395_SP Laboratory Equipment</t>
  </si>
  <si>
    <t>E394_SP Tools - Shop - and Garage Equipment</t>
  </si>
  <si>
    <t>E393_SP Stores Equipment</t>
  </si>
  <si>
    <t>E392_SP Transportation Equipment</t>
  </si>
  <si>
    <t>E391_SP Office Furniture and Equipment</t>
  </si>
  <si>
    <t>E390_SP Structures and Improvements</t>
  </si>
  <si>
    <t>General Plant</t>
  </si>
  <si>
    <t xml:space="preserve"> Total Distribution</t>
  </si>
  <si>
    <t>E373_SP Street Lighting and Signal Systems</t>
  </si>
  <si>
    <t>E370_SP Meters</t>
  </si>
  <si>
    <t>E369_SP Services</t>
  </si>
  <si>
    <t>E368_SP Line Transformers</t>
  </si>
  <si>
    <t>E367_SP Underground Conductors and Devices</t>
  </si>
  <si>
    <t>E366_SP Underground Conduit</t>
  </si>
  <si>
    <t>E365_SP Overhead Conductors and Devices</t>
  </si>
  <si>
    <t>E364_SP Poles - Towers and Fixtures</t>
  </si>
  <si>
    <t>E362_SP Station Equipment</t>
  </si>
  <si>
    <t>E361_SP Structures and Improvements</t>
  </si>
  <si>
    <t>E360_SP Land and Land Rights</t>
  </si>
  <si>
    <t xml:space="preserve"> Total Transmission</t>
  </si>
  <si>
    <t>E359_SP Roads and Trails</t>
  </si>
  <si>
    <t>E356_SP Overhead Conductors and Devices</t>
  </si>
  <si>
    <t>E355_SP Poles and Fixtures</t>
  </si>
  <si>
    <t>E354_SP Towers and Fixtures</t>
  </si>
  <si>
    <t>E353_SP Station Equipment</t>
  </si>
  <si>
    <t>E352_SP Structures and Improvements</t>
  </si>
  <si>
    <t>E350_SP Land and Land Rights</t>
  </si>
  <si>
    <t xml:space="preserve">  Total Other Production</t>
  </si>
  <si>
    <t>E346_SP Miscellaneous Power Plant Equipment</t>
  </si>
  <si>
    <t>E345_SP Accessory Electric Equipment</t>
  </si>
  <si>
    <t>E344_SP Generators</t>
  </si>
  <si>
    <t>E343_SP Prime Movers</t>
  </si>
  <si>
    <t>E342_SP Fuel Holders - Producers and Accessories</t>
  </si>
  <si>
    <t>E341_SP Structures and Improvements</t>
  </si>
  <si>
    <t>E340_SP Land and Land Rights</t>
  </si>
  <si>
    <t>Other Production</t>
  </si>
  <si>
    <t>Steam Production</t>
  </si>
  <si>
    <t xml:space="preserve"> Total Intangible</t>
  </si>
  <si>
    <t>E303_SP Miscellaneous Intangible Plant</t>
  </si>
  <si>
    <t>Intangible</t>
  </si>
  <si>
    <t>FC_406</t>
  </si>
  <si>
    <t>FC_404</t>
  </si>
  <si>
    <t>FC_403</t>
  </si>
  <si>
    <t xml:space="preserve">Lead Schedule </t>
  </si>
  <si>
    <t>Electronic comments exist in cells to further explain calculations for rate formula</t>
  </si>
  <si>
    <t>403 thru 406</t>
  </si>
  <si>
    <t>Depr Expense Annualized</t>
  </si>
  <si>
    <t xml:space="preserve">Post Test Year </t>
  </si>
  <si>
    <t>Pro Forma Cost Adjustments</t>
  </si>
  <si>
    <t xml:space="preserve">Unadjusted Test Year </t>
  </si>
  <si>
    <t>Depreciation Expense Detail</t>
  </si>
  <si>
    <t>T1303S2SJN01000</t>
  </si>
  <si>
    <t>FA Power Plan - CPR - Asset Activity Roll Forward FERC Page 204-207</t>
  </si>
  <si>
    <t/>
  </si>
  <si>
    <r>
      <rPr>
        <sz val="8"/>
        <color theme="1"/>
        <rFont val="Calibri"/>
        <family val="2"/>
      </rPr>
      <t xml:space="preserve">FERC is equal to </t>
    </r>
    <r>
      <rPr>
        <b/>
        <sz val="8"/>
        <color theme="1"/>
        <rFont val="Calibri"/>
        <family val="2"/>
      </rPr>
      <t>0101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0102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0106</t>
    </r>
  </si>
  <si>
    <t>and</t>
  </si>
  <si>
    <t>GL Company Number</t>
  </si>
  <si>
    <t>002</t>
  </si>
  <si>
    <t>Functional Class</t>
  </si>
  <si>
    <t>Utility Account</t>
  </si>
  <si>
    <t>Sub Account Desc</t>
  </si>
  <si>
    <t>Depreciation Group Description</t>
  </si>
  <si>
    <t>Additions</t>
  </si>
  <si>
    <t>Retirements</t>
  </si>
  <si>
    <t>Transfers</t>
  </si>
  <si>
    <t>Adjustments</t>
  </si>
  <si>
    <t>XX</t>
  </si>
  <si>
    <t>XX - Unspecified</t>
  </si>
  <si>
    <t>S2 - Medium Lived Software</t>
  </si>
  <si>
    <t>S1 - Short Lived Software</t>
  </si>
  <si>
    <t>LD</t>
  </si>
  <si>
    <t>LD - Land</t>
  </si>
  <si>
    <t>RWAZ</t>
  </si>
  <si>
    <t>RWAZ - Right of Way - AZ</t>
  </si>
  <si>
    <t>RW</t>
  </si>
  <si>
    <t>RW - Right of Way</t>
  </si>
  <si>
    <t>EN</t>
  </si>
  <si>
    <t>ENCA</t>
  </si>
  <si>
    <t>T1311ECSJN01000</t>
  </si>
  <si>
    <t>E341 - Structures and Improvements</t>
  </si>
  <si>
    <t>E343 - Prime Movers</t>
  </si>
  <si>
    <t>E345 - Accessory Electric Equipment</t>
  </si>
  <si>
    <t>E352 - Structures and Improvements</t>
  </si>
  <si>
    <t>E353 - Station Equipment</t>
  </si>
  <si>
    <t>UG</t>
  </si>
  <si>
    <t>LS</t>
  </si>
  <si>
    <t>LS - Leased Land</t>
  </si>
  <si>
    <t>E362 - Station Equipment</t>
  </si>
  <si>
    <t>E364 - Poles, Towers and Fixtures</t>
  </si>
  <si>
    <t>E365 - Overhead Conduct and Devices</t>
  </si>
  <si>
    <t>E366 - Underground Conduit</t>
  </si>
  <si>
    <t>E367 - Undergrnd Conduct and Device</t>
  </si>
  <si>
    <t>E368 - Line Transformers</t>
  </si>
  <si>
    <t>E369 - Services</t>
  </si>
  <si>
    <t>E373 - Street Light and Signal Sys</t>
  </si>
  <si>
    <t>T1390XXSJN01000</t>
  </si>
  <si>
    <t>CP</t>
  </si>
  <si>
    <t>CP - Computer Equipment</t>
  </si>
  <si>
    <t>NT</t>
  </si>
  <si>
    <t>NT - Network Infrastructure</t>
  </si>
  <si>
    <t>OE</t>
  </si>
  <si>
    <t>OE - Office Equipment</t>
  </si>
  <si>
    <t>T1391OESJN01000</t>
  </si>
  <si>
    <t>C1 - Transportation - Class 1</t>
  </si>
  <si>
    <t>C2</t>
  </si>
  <si>
    <t>C2 - Transportation - Class 2</t>
  </si>
  <si>
    <t>C3 - Transportation - Class 3</t>
  </si>
  <si>
    <t>C5 - Transportation - Class 5</t>
  </si>
  <si>
    <t>C6</t>
  </si>
  <si>
    <t>C6 - Transportation - Class 6</t>
  </si>
  <si>
    <t>C7</t>
  </si>
  <si>
    <t>C7 - Transportation - Class 7</t>
  </si>
  <si>
    <t>C9 - Transportation - Class 9</t>
  </si>
  <si>
    <t>C0</t>
  </si>
  <si>
    <t>T1392C0SJN01000</t>
  </si>
  <si>
    <t>T1393XXSJN01000</t>
  </si>
  <si>
    <t>T1394XXSJN01000</t>
  </si>
  <si>
    <t>T1396XXSJN01000</t>
  </si>
  <si>
    <t>Monthly Depr Rate</t>
  </si>
  <si>
    <t>** Reminder - unhide any rows/columns that may have been hidden for printing purposes**</t>
  </si>
  <si>
    <t>Manual Fixed Asset Adjustments</t>
  </si>
  <si>
    <t>For Year:</t>
  </si>
  <si>
    <t>2022</t>
  </si>
  <si>
    <t xml:space="preserve">  </t>
  </si>
  <si>
    <t>Asset Retirement</t>
  </si>
  <si>
    <t>FERC Change</t>
  </si>
  <si>
    <t>RU Change</t>
  </si>
  <si>
    <t>Location Change</t>
  </si>
  <si>
    <t>Completion</t>
  </si>
  <si>
    <t>Month</t>
  </si>
  <si>
    <t>Item</t>
  </si>
  <si>
    <t>Company</t>
  </si>
  <si>
    <t>Adjustment type</t>
  </si>
  <si>
    <t>Asset #</t>
  </si>
  <si>
    <t>Asset Description</t>
  </si>
  <si>
    <t>Current
Depr Group</t>
  </si>
  <si>
    <t>New
Depr Group</t>
  </si>
  <si>
    <t>ISD</t>
  </si>
  <si>
    <t>dr(cr) Cost Retired</t>
  </si>
  <si>
    <t>Proceeds</t>
  </si>
  <si>
    <t>COR</t>
  </si>
  <si>
    <t>Current</t>
  </si>
  <si>
    <t>New</t>
  </si>
  <si>
    <t>Adjust</t>
  </si>
  <si>
    <t>Current2</t>
  </si>
  <si>
    <t>New9</t>
  </si>
  <si>
    <t>Current10</t>
  </si>
  <si>
    <t>New11</t>
  </si>
  <si>
    <t>Current12</t>
  </si>
  <si>
    <t>New13</t>
  </si>
  <si>
    <t>Comments</t>
  </si>
  <si>
    <t>Prepared</t>
  </si>
  <si>
    <t>Date Entered in PowerPlan</t>
  </si>
  <si>
    <t>TEP</t>
  </si>
  <si>
    <t>Asset Transfer</t>
  </si>
  <si>
    <t>Cable/Wiring</t>
  </si>
  <si>
    <t>OSOTD</t>
  </si>
  <si>
    <t>OSOLN</t>
  </si>
  <si>
    <t>Transfer OSOTD assets to OSOLN</t>
  </si>
  <si>
    <t>CR</t>
  </si>
  <si>
    <t>Landscaping, Excavation, and Grading</t>
  </si>
  <si>
    <t>Building Structure/Shelter-E352</t>
  </si>
  <si>
    <t>Grounding System-E353</t>
  </si>
  <si>
    <t>Perimeter Fence with Gates-E352</t>
  </si>
  <si>
    <t>Equipment Enclosure-E353</t>
  </si>
  <si>
    <t>Static VAR Compensator</t>
  </si>
  <si>
    <t xml:space="preserve">Prepared &amp; Entered By:  </t>
  </si>
  <si>
    <t xml:space="preserve">Source: </t>
  </si>
  <si>
    <t>G:\PLANTACC\Close\Fixed Asset Close\2022\Manual Entries\02-FEB\#2. Transfer OSOTD Assets to OSOLN.pdf</t>
  </si>
  <si>
    <t xml:space="preserve">In FEB-22, asset transfers between locations and FERC functional codes were recorded under the project D19WD01 - Oso Grande, in serviced in May-2021. The transfers were driven by the inaccurate data input by the operation, and FERC pages were properly revised for this transfers. No GAAP FS impact. </t>
  </si>
  <si>
    <t xml:space="preserve">Reviewed &amp; Posted By:  </t>
  </si>
  <si>
    <t>From above</t>
  </si>
  <si>
    <t>a</t>
  </si>
  <si>
    <t>b</t>
  </si>
  <si>
    <t xml:space="preserve">Transfer from </t>
  </si>
  <si>
    <t>From Amount</t>
  </si>
  <si>
    <t>Transfer to</t>
  </si>
  <si>
    <t>To Amount</t>
  </si>
  <si>
    <t>From Total</t>
  </si>
  <si>
    <t>To Total</t>
  </si>
  <si>
    <t xml:space="preserve">   </t>
  </si>
  <si>
    <t>FA - DWH - NBV Sundt U3</t>
  </si>
  <si>
    <t>Time run: 2/14/2022 4:26:06 PM</t>
  </si>
  <si>
    <r>
      <rPr>
        <sz val="8"/>
        <color theme="1"/>
        <rFont val="Calibri"/>
        <family val="2"/>
      </rPr>
      <t xml:space="preserve">Balance Amount is not equal to / is not in </t>
    </r>
    <r>
      <rPr>
        <b/>
        <sz val="8"/>
        <color theme="1"/>
        <rFont val="Calibri"/>
        <family val="2"/>
      </rPr>
      <t>0</t>
    </r>
  </si>
  <si>
    <r>
      <rPr>
        <sz val="8"/>
        <color theme="1"/>
        <rFont val="Calibri"/>
        <family val="2"/>
      </rPr>
      <t xml:space="preserve">GL FERC is equal to </t>
    </r>
    <r>
      <rPr>
        <b/>
        <sz val="8"/>
        <color theme="1"/>
        <rFont val="Calibri"/>
        <family val="2"/>
      </rPr>
      <t>0101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0106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0105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0114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0121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0111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0115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1081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0122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1112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1082</t>
    </r>
  </si>
  <si>
    <r>
      <rPr>
        <sz val="8"/>
        <color theme="1"/>
        <rFont val="Calibri"/>
        <family val="2"/>
      </rPr>
      <t xml:space="preserve">GL Period Name is equal to / is in </t>
    </r>
    <r>
      <rPr>
        <b/>
        <sz val="8"/>
        <color theme="1"/>
        <rFont val="Calibri"/>
        <family val="2"/>
      </rPr>
      <t>JAN-22</t>
    </r>
  </si>
  <si>
    <r>
      <rPr>
        <sz val="8"/>
        <color theme="1"/>
        <rFont val="Calibri"/>
        <family val="2"/>
      </rPr>
      <t xml:space="preserve">GL Location is equal to / is in </t>
    </r>
    <r>
      <rPr>
        <b/>
        <sz val="8"/>
        <color theme="1"/>
        <rFont val="Calibri"/>
        <family val="2"/>
      </rPr>
      <t>874</t>
    </r>
  </si>
  <si>
    <r>
      <rPr>
        <sz val="8"/>
        <color theme="1"/>
        <rFont val="Calibri"/>
        <family val="2"/>
      </rPr>
      <t xml:space="preserve">GL Service/Product does not contain </t>
    </r>
    <r>
      <rPr>
        <b/>
        <sz val="8"/>
        <color theme="1"/>
        <rFont val="Calibri"/>
        <family val="2"/>
      </rPr>
      <t>E317</t>
    </r>
  </si>
  <si>
    <t>GL Period Name</t>
  </si>
  <si>
    <t>JAN-22</t>
  </si>
  <si>
    <t>GL Company</t>
  </si>
  <si>
    <t>GL Service/Product</t>
  </si>
  <si>
    <t>GL Sub Account</t>
  </si>
  <si>
    <t>System ID</t>
  </si>
  <si>
    <t>Asset Balance</t>
  </si>
  <si>
    <t>Reserve Balance</t>
  </si>
  <si>
    <t>Net Book Value</t>
  </si>
  <si>
    <t>GL Location Description</t>
  </si>
  <si>
    <t>GL Location</t>
  </si>
  <si>
    <t>FA Asset Category</t>
  </si>
  <si>
    <t>SJN01 - San Juan Unit #1</t>
  </si>
  <si>
    <t>874</t>
  </si>
  <si>
    <t>01.E303.S2.SJN01.000</t>
  </si>
  <si>
    <t>01.E311.EN.SJN01.000</t>
  </si>
  <si>
    <t>01.E311.ENCA.SJN01.000</t>
  </si>
  <si>
    <t>SALV</t>
  </si>
  <si>
    <t>01.E311.SALV.SJN01.000</t>
  </si>
  <si>
    <t>01.E311.XX.SJN01.000</t>
  </si>
  <si>
    <t>01.E312.EN.SJN01.000</t>
  </si>
  <si>
    <t>01.E312.ENCA.SJN01.000</t>
  </si>
  <si>
    <t>01.E312.SALV.SJN01.000</t>
  </si>
  <si>
    <t>01.E312.XX.SJN01.000</t>
  </si>
  <si>
    <t>01.E314.EN.SJN01.000</t>
  </si>
  <si>
    <t>01.E314.SALV.SJN01.000</t>
  </si>
  <si>
    <t>01.E314.XX.SJN01.000</t>
  </si>
  <si>
    <t>01.E315.ENCA.SJN01.000</t>
  </si>
  <si>
    <t>01.E315.SALV.SJN01.000</t>
  </si>
  <si>
    <t>01.E315.XX.SJN01.000</t>
  </si>
  <si>
    <t>01.E316.SALV.SJN01.000</t>
  </si>
  <si>
    <t>01.E316.XX.SJN01.000</t>
  </si>
  <si>
    <t>01.E390.SALV.SJN01.000</t>
  </si>
  <si>
    <t>01.E390.XX.SJN01.000</t>
  </si>
  <si>
    <t>01.E391.OE.SJN01.000</t>
  </si>
  <si>
    <t>01.E392.C0.SJN01.000</t>
  </si>
  <si>
    <t>01.E392.SALV.SJN01.000</t>
  </si>
  <si>
    <t>01.E393.XX.SJN01.000</t>
  </si>
  <si>
    <t>01.E394.XX.SJN01.000</t>
  </si>
  <si>
    <t>01.E396.SALV.SJN01.000</t>
  </si>
  <si>
    <t>01.E396.XX.SJN01.000</t>
  </si>
  <si>
    <t>01.E397.XX.SJN01.000</t>
  </si>
  <si>
    <t>Depr Group</t>
  </si>
  <si>
    <t>T1397XXSJN01000</t>
  </si>
  <si>
    <t>Manually Added</t>
  </si>
  <si>
    <t>G</t>
  </si>
  <si>
    <t>J</t>
  </si>
  <si>
    <t>P</t>
  </si>
  <si>
    <t>Q</t>
  </si>
  <si>
    <t>R</t>
  </si>
  <si>
    <t>PIVOT of Post Test Year Lead Schedule</t>
  </si>
  <si>
    <t>6A</t>
  </si>
  <si>
    <t>Statement A</t>
  </si>
  <si>
    <t xml:space="preserve">       Total Distribution Plant</t>
  </si>
  <si>
    <t xml:space="preserve">       Depreciable</t>
  </si>
  <si>
    <t xml:space="preserve">       Total Depreciable</t>
  </si>
  <si>
    <t xml:space="preserve">       Amortizable</t>
  </si>
  <si>
    <t xml:space="preserve">       Total Amortizable</t>
  </si>
  <si>
    <t xml:space="preserve">       Total General Plant</t>
  </si>
  <si>
    <t>033 - UNS Electric, Inc.</t>
  </si>
  <si>
    <t>UNS Electric Inc.</t>
  </si>
  <si>
    <t>June 2022</t>
  </si>
  <si>
    <t>08-Sep-22 2:14</t>
  </si>
  <si>
    <t>E358_SP Underground Conductors and Devices</t>
  </si>
  <si>
    <t>Allocated Common Systems Costs</t>
  </si>
  <si>
    <t>E1303APGILRV000</t>
  </si>
  <si>
    <t>E1303S1GILRV000</t>
  </si>
  <si>
    <t>E1303S200000000</t>
  </si>
  <si>
    <t>E1303WOHILLT000</t>
  </si>
  <si>
    <t>E1303WOLKHAV000</t>
  </si>
  <si>
    <t>E1303WONHAVA000</t>
  </si>
  <si>
    <t>E1303WPGRIFF230</t>
  </si>
  <si>
    <t>E1303WPLKHAV000</t>
  </si>
  <si>
    <t>E1303WPNHAVA000</t>
  </si>
  <si>
    <t>E1303WPRVAEP000</t>
  </si>
  <si>
    <t>E1303WPVALEN115</t>
  </si>
  <si>
    <t>E1303XXBLKMS000</t>
  </si>
  <si>
    <t>E1340ESVALPP000</t>
  </si>
  <si>
    <t>E1340LDBKMTN000</t>
  </si>
  <si>
    <t>E1340LDGIL03000</t>
  </si>
  <si>
    <t>E1340LDJACPV000</t>
  </si>
  <si>
    <t>E1340LDVALPP000</t>
  </si>
  <si>
    <t>E1340LSRRICO000</t>
  </si>
  <si>
    <t>E1341ENBKMTN000</t>
  </si>
  <si>
    <t>E1341ENVALPP000</t>
  </si>
  <si>
    <t>E1341PVJACPV000</t>
  </si>
  <si>
    <t>E1341XXBKMTN000</t>
  </si>
  <si>
    <t>E1341XXGIL03000</t>
  </si>
  <si>
    <t>E1341XXGILCM000</t>
  </si>
  <si>
    <t>E1341XXLASPV000</t>
  </si>
  <si>
    <t>E1341XXVALPP000</t>
  </si>
  <si>
    <t>E1342XXBKMTN000</t>
  </si>
  <si>
    <t>E1342XXGIL03000</t>
  </si>
  <si>
    <t>E1342XXGILCM000</t>
  </si>
  <si>
    <t>E1342XXVALPP000</t>
  </si>
  <si>
    <t>E1343E1GIL03000</t>
  </si>
  <si>
    <t>E1343E1GILCM000</t>
  </si>
  <si>
    <t>E1343ENVALPP000</t>
  </si>
  <si>
    <t>E1343XXBKMTN000</t>
  </si>
  <si>
    <t>E1343XXGIL03000</t>
  </si>
  <si>
    <t>E1343XXGILCM000</t>
  </si>
  <si>
    <t>E1343XXVALPP000</t>
  </si>
  <si>
    <t>E1344ENBKMTN000</t>
  </si>
  <si>
    <t>E1344ENVALPP000</t>
  </si>
  <si>
    <t>E1344PVJACPV000</t>
  </si>
  <si>
    <t>E1344PVLASPV000</t>
  </si>
  <si>
    <t>E1344PVRRICO000</t>
  </si>
  <si>
    <t>E1344XXBKMTN000</t>
  </si>
  <si>
    <t>E1344XXGIL03000</t>
  </si>
  <si>
    <t>E1344XXGILCM000</t>
  </si>
  <si>
    <t>E1344XXVALPP000</t>
  </si>
  <si>
    <t>E1345ENVALPP000</t>
  </si>
  <si>
    <t>E1345XXBKMTN000</t>
  </si>
  <si>
    <t>E1345XXGIL03000</t>
  </si>
  <si>
    <t>E1345XXGILCM000</t>
  </si>
  <si>
    <t>E1345XXVALPP000</t>
  </si>
  <si>
    <t>E1346ENBKMTN000</t>
  </si>
  <si>
    <t>E1346ENVALPP000</t>
  </si>
  <si>
    <t>E1346XXBKMTN000</t>
  </si>
  <si>
    <t>E1346XXGIL03000</t>
  </si>
  <si>
    <t>E1346XXGILCM000</t>
  </si>
  <si>
    <t>E1346XXVALPP000</t>
  </si>
  <si>
    <t>E1350ES00000000</t>
  </si>
  <si>
    <t>E1350ES00000069</t>
  </si>
  <si>
    <t>E1350ES00000138</t>
  </si>
  <si>
    <t>E1350LD00000069</t>
  </si>
  <si>
    <t>E1350RA00000069</t>
  </si>
  <si>
    <t>E1350RA00000138</t>
  </si>
  <si>
    <t>E1350RW00000000</t>
  </si>
  <si>
    <t>E1350RW00000069</t>
  </si>
  <si>
    <t>E1350RW00000115</t>
  </si>
  <si>
    <t>E1352XX00000069</t>
  </si>
  <si>
    <t>E1352XX00000115</t>
  </si>
  <si>
    <t>E1352XX00000138</t>
  </si>
  <si>
    <t>E1352XX00000230</t>
  </si>
  <si>
    <t>E1352XXGILAS500</t>
  </si>
  <si>
    <t>E1353XX00000069</t>
  </si>
  <si>
    <t>E1353XX00000115</t>
  </si>
  <si>
    <t>E1353XX00000138</t>
  </si>
  <si>
    <t>E1353XX00000230</t>
  </si>
  <si>
    <t>E1353XXGILAS500</t>
  </si>
  <si>
    <t>E1354XX00000069</t>
  </si>
  <si>
    <t>E1355XX00000046</t>
  </si>
  <si>
    <t>E1355XX00000069</t>
  </si>
  <si>
    <t>E1355XX00000138</t>
  </si>
  <si>
    <t>E1356XX00000046</t>
  </si>
  <si>
    <t>E1356XX00000069</t>
  </si>
  <si>
    <t>E1356XX00000138</t>
  </si>
  <si>
    <t>E1358XX00000069</t>
  </si>
  <si>
    <t>E1359XX00000069</t>
  </si>
  <si>
    <t>E1359XX00000115</t>
  </si>
  <si>
    <t>E1360ES00000000</t>
  </si>
  <si>
    <t>E1360LD00000000</t>
  </si>
  <si>
    <t>E1360LS00000000</t>
  </si>
  <si>
    <t>E1360RA00000000</t>
  </si>
  <si>
    <t>E1360RW00000000</t>
  </si>
  <si>
    <t>E1360XX00000000</t>
  </si>
  <si>
    <t>E1361XX00000000</t>
  </si>
  <si>
    <t>E1362XX00000000</t>
  </si>
  <si>
    <t>E1362XXJACPV000</t>
  </si>
  <si>
    <t>E1364XX00000000</t>
  </si>
  <si>
    <t>E1365XX00000000</t>
  </si>
  <si>
    <t>E1366XX00000000</t>
  </si>
  <si>
    <t>E1367XX00000000</t>
  </si>
  <si>
    <t>E1368OH00000000</t>
  </si>
  <si>
    <t>E1368UG00000000</t>
  </si>
  <si>
    <t>E1369OH00000000</t>
  </si>
  <si>
    <t>E1369UG00000000</t>
  </si>
  <si>
    <t>E1370XX00000000</t>
  </si>
  <si>
    <t>E1373XX00000000</t>
  </si>
  <si>
    <t>E1389LD00000000</t>
  </si>
  <si>
    <t>E1389LDHAVAW000</t>
  </si>
  <si>
    <t>E1389LDKINGW000</t>
  </si>
  <si>
    <t>E1389LDSCNHQ000</t>
  </si>
  <si>
    <t>E1389LDSHANG000</t>
  </si>
  <si>
    <t>E1390XX00000000</t>
  </si>
  <si>
    <t>E1390XXBKMTN000</t>
  </si>
  <si>
    <t>E1390XXGILRV000</t>
  </si>
  <si>
    <t>E1390XXHAVAS000</t>
  </si>
  <si>
    <t>E1390XXHAVAW000</t>
  </si>
  <si>
    <t>E1390XXHAVSO000</t>
  </si>
  <si>
    <t>E1390XXKINGM000</t>
  </si>
  <si>
    <t>E1390XXKINGW000</t>
  </si>
  <si>
    <t>E1390XXKIOWA000</t>
  </si>
  <si>
    <t>E1390XXLASPV000</t>
  </si>
  <si>
    <t>E1390XXLKHAV000</t>
  </si>
  <si>
    <t>E1390XXLONDN000</t>
  </si>
  <si>
    <t>E1390XXMOHAV000</t>
  </si>
  <si>
    <t>E1390XXOATMN000</t>
  </si>
  <si>
    <t>E1390XXRRICO000</t>
  </si>
  <si>
    <t>E1390XXSCADM000</t>
  </si>
  <si>
    <t>E1390XXSCNHQ000</t>
  </si>
  <si>
    <t>E1390XXSCPOL000</t>
  </si>
  <si>
    <t>E1390XXSCWHS000</t>
  </si>
  <si>
    <t>E1390XXSHANG000</t>
  </si>
  <si>
    <t>E1390XXSKING000</t>
  </si>
  <si>
    <t>E1390XXVALEN000</t>
  </si>
  <si>
    <t>E1390XXVALPP000</t>
  </si>
  <si>
    <t>E1391CPGILRV000</t>
  </si>
  <si>
    <t>E1391CPKINGM000</t>
  </si>
  <si>
    <t>E1391CPMOHAV000</t>
  </si>
  <si>
    <t>E1391LNHAVSO000</t>
  </si>
  <si>
    <t>E1391NTBKMTN000</t>
  </si>
  <si>
    <t>E1391NTHAVAW000</t>
  </si>
  <si>
    <t>E1391NTHAVSO000</t>
  </si>
  <si>
    <t>E1391NTKINGM000</t>
  </si>
  <si>
    <t>E1391NTKINGW000</t>
  </si>
  <si>
    <t>E1391NTMOHAV000</t>
  </si>
  <si>
    <t>E1391NTSCNHQ000</t>
  </si>
  <si>
    <t>E1391NTVALPP000</t>
  </si>
  <si>
    <t>E1391OE00000000</t>
  </si>
  <si>
    <t>E1391OEGILRV000</t>
  </si>
  <si>
    <t>E1391OEHAVAW000</t>
  </si>
  <si>
    <t>E1391OEHAVSO000</t>
  </si>
  <si>
    <t>E1391OEKINGM000</t>
  </si>
  <si>
    <t>E1391OEKINGW000</t>
  </si>
  <si>
    <t>E1391OEMOHAV000</t>
  </si>
  <si>
    <t>E1391OESCADM000</t>
  </si>
  <si>
    <t>E1391OESCNHQ000</t>
  </si>
  <si>
    <t>E1391OESCWHS000</t>
  </si>
  <si>
    <t>E1391OEVALPP000</t>
  </si>
  <si>
    <t>E1391OEYUCCA000</t>
  </si>
  <si>
    <t>E1392C0GILRV000</t>
  </si>
  <si>
    <t>E1392C100000000</t>
  </si>
  <si>
    <t>E1392C200000000</t>
  </si>
  <si>
    <t>E1392C300000000</t>
  </si>
  <si>
    <t>E1392C400000000</t>
  </si>
  <si>
    <t>E1392C500000000</t>
  </si>
  <si>
    <t>E1392C600000000</t>
  </si>
  <si>
    <t>E1392C700000000</t>
  </si>
  <si>
    <t>E1392C800000000</t>
  </si>
  <si>
    <t>E1392C900000000</t>
  </si>
  <si>
    <t>E1393XX00000000</t>
  </si>
  <si>
    <t>E1393XXGILRV000</t>
  </si>
  <si>
    <t>E1393XXHAVAW000</t>
  </si>
  <si>
    <t>E1393XXKINGW000</t>
  </si>
  <si>
    <t>E1393XXSCWHS000</t>
  </si>
  <si>
    <t>E1394XX00000000</t>
  </si>
  <si>
    <t>E1394XXBKMTN000</t>
  </si>
  <si>
    <t>E1394XXHAVAW000</t>
  </si>
  <si>
    <t>E1394XXKINGW000</t>
  </si>
  <si>
    <t>E1394XXPARKR000</t>
  </si>
  <si>
    <t>E1394XXSCWHS000</t>
  </si>
  <si>
    <t>E1394XXVALEN000</t>
  </si>
  <si>
    <t>E1394XXVALPP000</t>
  </si>
  <si>
    <t>E1395XX00000000</t>
  </si>
  <si>
    <t>E1395XXHAVAW000</t>
  </si>
  <si>
    <t>E1395XXKINGW000</t>
  </si>
  <si>
    <t>E1395XXKSTCY000</t>
  </si>
  <si>
    <t>E1395XXMOHAV000</t>
  </si>
  <si>
    <t>E1395XXSCWHS000</t>
  </si>
  <si>
    <t>E1395XXVALEN000</t>
  </si>
  <si>
    <t>E1396XX00000000</t>
  </si>
  <si>
    <t>E1396XXGILRV000</t>
  </si>
  <si>
    <t>E1396XXHAVAW000</t>
  </si>
  <si>
    <t>E1396XXKINGW000</t>
  </si>
  <si>
    <t>E1396XXLKHAV000</t>
  </si>
  <si>
    <t>E1396XXMOHAV000</t>
  </si>
  <si>
    <t>E1396XXSCWHS000</t>
  </si>
  <si>
    <t>E1396XXVALPP000</t>
  </si>
  <si>
    <t>E1397EM00000000</t>
  </si>
  <si>
    <t>E1397XX00000000</t>
  </si>
  <si>
    <t>E1398XX00000000</t>
  </si>
  <si>
    <t>E1398XXHAVAW000</t>
  </si>
  <si>
    <t>E1398XXHAVSO000</t>
  </si>
  <si>
    <t>E1398XXKINGM000</t>
  </si>
  <si>
    <t>E1398XXKINGW000</t>
  </si>
  <si>
    <t>E1398XXMOHAV000</t>
  </si>
  <si>
    <t>E1398XXSCNHQ000</t>
  </si>
  <si>
    <t>E1398XXSCWHS000</t>
  </si>
  <si>
    <t>UNS: 399.1-ARCs for General Plant</t>
  </si>
  <si>
    <t>UNS: 374-ARCs for Distribution Plan</t>
  </si>
  <si>
    <t>UNS: 347-ARCs for Other Production</t>
  </si>
  <si>
    <t>UNS: 317-ARCs for Steam Production</t>
  </si>
  <si>
    <t>(blank)</t>
  </si>
  <si>
    <t>389</t>
  </si>
  <si>
    <t>358</t>
  </si>
  <si>
    <t>UNS: 359.1-ARCs for Transmission Pl</t>
  </si>
  <si>
    <t>E4398XX00000000</t>
  </si>
  <si>
    <t>Monthly</t>
  </si>
  <si>
    <t>E4397XX00000000</t>
  </si>
  <si>
    <t>E4396XX00000000</t>
  </si>
  <si>
    <t>E4395XX00000000</t>
  </si>
  <si>
    <t>E4394XX00000000</t>
  </si>
  <si>
    <t>E4393XXGLACQ000</t>
  </si>
  <si>
    <t>E4393XX00000000</t>
  </si>
  <si>
    <t>E4392C0GLACQ000</t>
  </si>
  <si>
    <t>E4390XX00000000</t>
  </si>
  <si>
    <t>E4389LD00000000</t>
  </si>
  <si>
    <t>E4373XX00000000</t>
  </si>
  <si>
    <t>E4370XX00000000</t>
  </si>
  <si>
    <t>E4369UG00000000</t>
  </si>
  <si>
    <t>E4369OH00000000</t>
  </si>
  <si>
    <t>E4368XX00000000</t>
  </si>
  <si>
    <t>E4367XX00000000</t>
  </si>
  <si>
    <t>E4366XX00000000</t>
  </si>
  <si>
    <t>E4365XX00000000</t>
  </si>
  <si>
    <t>E4364XX00000000</t>
  </si>
  <si>
    <t>E4362XX00000000</t>
  </si>
  <si>
    <t>E4361XX00000000</t>
  </si>
  <si>
    <t>E5360LD00000000</t>
  </si>
  <si>
    <t>E4360XX00000000</t>
  </si>
  <si>
    <t>E4360RW00000000</t>
  </si>
  <si>
    <t>E4360LS00000000</t>
  </si>
  <si>
    <t>E4360LD00000000</t>
  </si>
  <si>
    <t>E4360ES00000000</t>
  </si>
  <si>
    <t>E2360LD00000000</t>
  </si>
  <si>
    <t>E4359XX00000000</t>
  </si>
  <si>
    <t>E4356XX00000000</t>
  </si>
  <si>
    <t>E4355XX00000000</t>
  </si>
  <si>
    <t>E4354XX00000000</t>
  </si>
  <si>
    <t>E4353XXGLACQ000</t>
  </si>
  <si>
    <t>E4353XX00000000</t>
  </si>
  <si>
    <t>E4352XXGLACQ000</t>
  </si>
  <si>
    <t>E4352XX00000000</t>
  </si>
  <si>
    <t>E5350ES00000000</t>
  </si>
  <si>
    <t>E4350RW00000000</t>
  </si>
  <si>
    <t>E4350LD00000000</t>
  </si>
  <si>
    <t>E4350ES00000000</t>
  </si>
  <si>
    <t>E2350LD00000000</t>
  </si>
  <si>
    <t>E4346XXGLACQ000</t>
  </si>
  <si>
    <t>E4346XX00000000</t>
  </si>
  <si>
    <t>E4345XXGLACQ000</t>
  </si>
  <si>
    <t>E4345XX00000000</t>
  </si>
  <si>
    <t>E4344XXGLACQ000</t>
  </si>
  <si>
    <t>E4344XX00000000</t>
  </si>
  <si>
    <t>E4343XXGLACQ000</t>
  </si>
  <si>
    <t>E4343XX00000000</t>
  </si>
  <si>
    <t>E4342XXGLACQ000</t>
  </si>
  <si>
    <t>E4342XX00000000</t>
  </si>
  <si>
    <t>E4341XXGLACQ000</t>
  </si>
  <si>
    <t>E4341XX00000000</t>
  </si>
  <si>
    <t>E4340LDGLACQ000</t>
  </si>
  <si>
    <t>E4340LD00000000</t>
  </si>
  <si>
    <t>E4340ES00000000</t>
  </si>
  <si>
    <t>E2340LDBLKSL000</t>
  </si>
  <si>
    <t>E4303XXGLACQ000</t>
  </si>
  <si>
    <t>E4303XX00000000</t>
  </si>
  <si>
    <t>RATE</t>
  </si>
  <si>
    <t>external_depr_code</t>
  </si>
  <si>
    <t>true_up_cpr_depr</t>
  </si>
  <si>
    <t>cor_expense_acct_id</t>
  </si>
  <si>
    <t>cor_reserve_acct_id</t>
  </si>
  <si>
    <t>func_class_id</t>
  </si>
  <si>
    <t>combined_depr_group_id</t>
  </si>
  <si>
    <t>status_id</t>
  </si>
  <si>
    <t>gain_loss_default</t>
  </si>
  <si>
    <t>net_salvage_amort_life</t>
  </si>
  <si>
    <t>salvage_treatment</t>
  </si>
  <si>
    <t>cor_treatment</t>
  </si>
  <si>
    <t>depr_summary2_id</t>
  </si>
  <si>
    <t>est_ann_net_adds</t>
  </si>
  <si>
    <t>mid_period_method</t>
  </si>
  <si>
    <t>mid_period_conv</t>
  </si>
  <si>
    <t>factor_id</t>
  </si>
  <si>
    <t>subledger_type_id</t>
  </si>
  <si>
    <t>depr_method_id</t>
  </si>
  <si>
    <t>loss_acct_id</t>
  </si>
  <si>
    <t>gain_acct_id</t>
  </si>
  <si>
    <t>expense_acct_id</t>
  </si>
  <si>
    <t>reserve_acct_id</t>
  </si>
  <si>
    <t>company_id</t>
  </si>
  <si>
    <t>XX.K069</t>
  </si>
  <si>
    <r>
      <rPr>
        <sz val="11"/>
        <color rgb="FFFF0000"/>
        <rFont val="Calibri"/>
        <family val="2"/>
        <scheme val="minor"/>
      </rPr>
      <t xml:space="preserve">PowerPlan Asset Query:  </t>
    </r>
    <r>
      <rPr>
        <sz val="11"/>
        <rFont val="Calibri"/>
        <family val="2"/>
        <scheme val="minor"/>
      </rPr>
      <t>UNS 106 Proforma Adjustment</t>
    </r>
  </si>
  <si>
    <r>
      <t xml:space="preserve">Query Parameters:  </t>
    </r>
    <r>
      <rPr>
        <sz val="11"/>
        <rFont val="Calibri"/>
        <family val="2"/>
        <scheme val="minor"/>
      </rPr>
      <t>Test Year Date:  06302022  Start Month:  20227  End Month:  202208 Company:  033 - UNS Electric, Inc.</t>
    </r>
  </si>
  <si>
    <t>Column added manually</t>
  </si>
  <si>
    <t>columns hidden</t>
  </si>
  <si>
    <t>Test Year Date mmddyyyy</t>
  </si>
  <si>
    <t>Start Month yyyymm</t>
  </si>
  <si>
    <t>End Month yyyymm</t>
  </si>
  <si>
    <t>Asset Id</t>
  </si>
  <si>
    <t>Work Order Number</t>
  </si>
  <si>
    <t>Project</t>
  </si>
  <si>
    <t>Project Description 
No New Bus</t>
  </si>
  <si>
    <t>Ferc</t>
  </si>
  <si>
    <t>System Id</t>
  </si>
  <si>
    <t>Asset Location</t>
  </si>
  <si>
    <t>Engineering In Service</t>
  </si>
  <si>
    <t>System In Service</t>
  </si>
  <si>
    <t>Annual Depr Rate</t>
  </si>
  <si>
    <t>Book Amount</t>
  </si>
  <si>
    <t>Missed Depreciation</t>
  </si>
  <si>
    <t>06302022</t>
  </si>
  <si>
    <t>202207</t>
  </si>
  <si>
    <t>202208</t>
  </si>
  <si>
    <t>6246568-332064A</t>
  </si>
  <si>
    <t>00000 - Unspecified AZ</t>
  </si>
  <si>
    <t>HH11673-312000A</t>
  </si>
  <si>
    <t>6307300-328162S</t>
  </si>
  <si>
    <t>HILLT</t>
  </si>
  <si>
    <t>HILLT - Hilltop Substation</t>
  </si>
  <si>
    <t>T2267-300160A</t>
  </si>
  <si>
    <t>GIL03 - Gila River Gen Station Unit 3</t>
  </si>
  <si>
    <t>C2002-300160A</t>
  </si>
  <si>
    <t>GILCM - Gila River Unit 3 Common</t>
  </si>
  <si>
    <t>T2266-300160A</t>
  </si>
  <si>
    <t>8203055-314361S</t>
  </si>
  <si>
    <t>HK11671-312261A</t>
  </si>
  <si>
    <t>8203049-314361S</t>
  </si>
  <si>
    <t>7201910-314362S</t>
  </si>
  <si>
    <t>C2210-300160A</t>
  </si>
  <si>
    <t>8203051-314361S</t>
  </si>
  <si>
    <t>HS10819-312100A</t>
  </si>
  <si>
    <t>SCWHS</t>
  </si>
  <si>
    <t>SCWHS - Santa Cruz Warehouse &amp; Engineering</t>
  </si>
  <si>
    <t>HS10818-312100A</t>
  </si>
  <si>
    <t>8203050-314361S</t>
  </si>
  <si>
    <t>8203092-314361S</t>
  </si>
  <si>
    <t>8202386-314361S</t>
  </si>
  <si>
    <t>HS66170-326064A</t>
  </si>
  <si>
    <t>VALPP</t>
  </si>
  <si>
    <t>VALPP - Valencia Gen Station</t>
  </si>
  <si>
    <t>Exclude Transmission</t>
  </si>
  <si>
    <t xml:space="preserve">No New Business Projects </t>
  </si>
  <si>
    <t xml:space="preserve">       Total Transmission Plant</t>
  </si>
  <si>
    <t>TRANSMISSION PLANT</t>
  </si>
  <si>
    <t>Manual Add</t>
  </si>
  <si>
    <t xml:space="preserve">Investment </t>
  </si>
  <si>
    <t>Not Including</t>
  </si>
  <si>
    <t>7A</t>
  </si>
  <si>
    <t>Page 3</t>
  </si>
  <si>
    <t>Page 4</t>
  </si>
  <si>
    <t>Calc.</t>
  </si>
  <si>
    <t>Tab - BI Page 204-207</t>
  </si>
  <si>
    <t>Link to original file:</t>
  </si>
  <si>
    <t>403_404 Only</t>
  </si>
  <si>
    <t>December 2021</t>
  </si>
  <si>
    <t>15-Sep-22 12:21</t>
  </si>
  <si>
    <t xml:space="preserve">Manual </t>
  </si>
  <si>
    <t>Add</t>
  </si>
  <si>
    <t xml:space="preserve">Total </t>
  </si>
  <si>
    <t>Full</t>
  </si>
  <si>
    <t>Year</t>
  </si>
  <si>
    <t>Current Rates</t>
  </si>
  <si>
    <t>Rate Change</t>
  </si>
  <si>
    <t>403_404_406</t>
  </si>
  <si>
    <t>Checker Added</t>
  </si>
  <si>
    <t>032 - UNS Gas, Inc.</t>
  </si>
  <si>
    <t>Franchise and Consents</t>
  </si>
  <si>
    <t>371</t>
  </si>
  <si>
    <t>374</t>
  </si>
  <si>
    <t>375</t>
  </si>
  <si>
    <t>376</t>
  </si>
  <si>
    <t>378</t>
  </si>
  <si>
    <t>379</t>
  </si>
  <si>
    <t>Other Equipment</t>
  </si>
  <si>
    <t>Land and Land Rights</t>
  </si>
  <si>
    <t>Mains</t>
  </si>
  <si>
    <t>Measuring and Regulating Station Equipment-Gen</t>
  </si>
  <si>
    <t>Measuring and Regulating Station Equipment-City</t>
  </si>
  <si>
    <t>380</t>
  </si>
  <si>
    <t>381</t>
  </si>
  <si>
    <t>382</t>
  </si>
  <si>
    <t>383</t>
  </si>
  <si>
    <t>384</t>
  </si>
  <si>
    <t>385</t>
  </si>
  <si>
    <t>387</t>
  </si>
  <si>
    <t>Meter Installations</t>
  </si>
  <si>
    <t>House Regulators</t>
  </si>
  <si>
    <t>House Regulatory Installations</t>
  </si>
  <si>
    <t>Industrial Measuring Regulating Station Equipment</t>
  </si>
  <si>
    <t>G303</t>
  </si>
  <si>
    <t>G302</t>
  </si>
  <si>
    <t>G1302XX00000000</t>
  </si>
  <si>
    <t>G1303PCFLAGA000</t>
  </si>
  <si>
    <t>G1303S200000000</t>
  </si>
  <si>
    <t>G1303XX00000000</t>
  </si>
  <si>
    <t>G1303XXFLAGA000</t>
  </si>
  <si>
    <t>G365</t>
  </si>
  <si>
    <t>G1365RW00000000</t>
  </si>
  <si>
    <t>G1365RWGRFTH000</t>
  </si>
  <si>
    <t>G366</t>
  </si>
  <si>
    <t>G1366XX00000000</t>
  </si>
  <si>
    <t>G303 Total</t>
  </si>
  <si>
    <t>G302 Total</t>
  </si>
  <si>
    <t>G365 Total</t>
  </si>
  <si>
    <t>G366 Total</t>
  </si>
  <si>
    <t>G367</t>
  </si>
  <si>
    <t>G1367XX00000000</t>
  </si>
  <si>
    <t>G1367XXGRFTH000</t>
  </si>
  <si>
    <t>G367 Total</t>
  </si>
  <si>
    <t>G369</t>
  </si>
  <si>
    <t>G369 Total</t>
  </si>
  <si>
    <t>G1369XX00000000</t>
  </si>
  <si>
    <t>G1369XXGRFTH000</t>
  </si>
  <si>
    <t>G371</t>
  </si>
  <si>
    <t>G371 Total</t>
  </si>
  <si>
    <t>G1371XXGRFTH000</t>
  </si>
  <si>
    <t>G374</t>
  </si>
  <si>
    <t>G374 Total</t>
  </si>
  <si>
    <t>G1374LD00000000</t>
  </si>
  <si>
    <t>G1374RA00000000</t>
  </si>
  <si>
    <t>G1374RW00000000</t>
  </si>
  <si>
    <t>G1374XX00000000</t>
  </si>
  <si>
    <t>G375</t>
  </si>
  <si>
    <t>G1375XX00000000</t>
  </si>
  <si>
    <t>G375 Total</t>
  </si>
  <si>
    <t>G376</t>
  </si>
  <si>
    <t>G376 Total</t>
  </si>
  <si>
    <t>G1376XX00000000</t>
  </si>
  <si>
    <t>G378</t>
  </si>
  <si>
    <t>G378 Total</t>
  </si>
  <si>
    <t>G1378XX00000000</t>
  </si>
  <si>
    <t>G379</t>
  </si>
  <si>
    <t>G379 Total</t>
  </si>
  <si>
    <t>G1379XX00000000</t>
  </si>
  <si>
    <t>G380</t>
  </si>
  <si>
    <t>G380 Total</t>
  </si>
  <si>
    <t>G1380XX00000000</t>
  </si>
  <si>
    <t>G381</t>
  </si>
  <si>
    <t>G385</t>
  </si>
  <si>
    <t>G381 Total</t>
  </si>
  <si>
    <t>G1381XX00000000</t>
  </si>
  <si>
    <t>G1382XX00000000</t>
  </si>
  <si>
    <t>G382</t>
  </si>
  <si>
    <t xml:space="preserve">G382 Total </t>
  </si>
  <si>
    <t>G1383XX00000000</t>
  </si>
  <si>
    <t>G383</t>
  </si>
  <si>
    <t>G383 Total</t>
  </si>
  <si>
    <t>G384</t>
  </si>
  <si>
    <t>G1384XX00000000</t>
  </si>
  <si>
    <t>G384 Total</t>
  </si>
  <si>
    <t>G1385XX00000000</t>
  </si>
  <si>
    <t>G1385XXGRFTH000</t>
  </si>
  <si>
    <t>G385 Total</t>
  </si>
  <si>
    <t>G387</t>
  </si>
  <si>
    <t>G1387XX00000000</t>
  </si>
  <si>
    <t>G387 Total</t>
  </si>
  <si>
    <t>G389</t>
  </si>
  <si>
    <t>G390</t>
  </si>
  <si>
    <t>G389 Total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</si>
  <si>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</si>
  <si>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</si>
  <si>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</si>
  <si>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</si>
  <si>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</si>
  <si>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</si>
  <si>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G1389LDWILLM000</t>
  </si>
  <si>
    <t>G1389LSHAVSO000</t>
  </si>
  <si>
    <t>G390 Total</t>
  </si>
  <si>
    <t>G391</t>
  </si>
  <si>
    <t>G1390XX00000000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</si>
  <si>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</si>
  <si>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</si>
  <si>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</si>
  <si>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</si>
  <si>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</si>
  <si>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</si>
  <si>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</si>
  <si>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</si>
  <si>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</si>
  <si>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</si>
  <si>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</si>
  <si>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</si>
  <si>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</si>
  <si>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G391 Total</t>
  </si>
  <si>
    <t>G392</t>
  </si>
  <si>
    <t>G392 Total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</si>
  <si>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</si>
  <si>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</si>
  <si>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</si>
  <si>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</si>
  <si>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</si>
  <si>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</si>
  <si>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</si>
  <si>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G393</t>
  </si>
  <si>
    <t>G393 Total</t>
  </si>
  <si>
    <t>G1393XX00000000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</si>
  <si>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</si>
  <si>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</si>
  <si>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</si>
  <si>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</si>
  <si>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</si>
  <si>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</si>
  <si>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</si>
  <si>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G394</t>
  </si>
  <si>
    <t>G395</t>
  </si>
  <si>
    <t>G396</t>
  </si>
  <si>
    <t>G397</t>
  </si>
  <si>
    <t>G398</t>
  </si>
  <si>
    <t>G394 Total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</si>
  <si>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</si>
  <si>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</si>
  <si>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</si>
  <si>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</si>
  <si>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</si>
  <si>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</si>
  <si>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</si>
  <si>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</si>
  <si>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</si>
  <si>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</si>
  <si>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</si>
  <si>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</si>
  <si>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G1394XXWINSL000</t>
  </si>
  <si>
    <t>G395 Total</t>
  </si>
  <si>
    <t>G1395XX00000000</t>
  </si>
  <si>
    <t>G1395XXCOTTN000</t>
  </si>
  <si>
    <t>G1395XXFLAGW000</t>
  </si>
  <si>
    <t>G1395XXHAVAS000</t>
  </si>
  <si>
    <t>G1395XXKINGM000</t>
  </si>
  <si>
    <t>G1395XXPRESC000</t>
  </si>
  <si>
    <t>G1395XXSCWHG000</t>
  </si>
  <si>
    <t>G1395XXSHOWL000</t>
  </si>
  <si>
    <t>G396 Total</t>
  </si>
  <si>
    <t>G1396XX00000000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</si>
  <si>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</si>
  <si>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</si>
  <si>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</si>
  <si>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</si>
  <si>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</si>
  <si>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</si>
  <si>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</si>
  <si>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</si>
  <si>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</si>
  <si>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G1397XX00000000</t>
  </si>
  <si>
    <t>G397 Total</t>
  </si>
  <si>
    <t>G1398XX00000000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</si>
  <si>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</si>
  <si>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</si>
  <si>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</si>
  <si>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</si>
  <si>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</si>
  <si>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</si>
  <si>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G1398XXSCWHG000</t>
  </si>
  <si>
    <t>G1398XXSHOWL000</t>
  </si>
  <si>
    <t>G1391CPCOTTN000</t>
  </si>
  <si>
    <t>G1391CPFLAGA000</t>
  </si>
  <si>
    <t>G1391CPHAVAS000</t>
  </si>
  <si>
    <t>G1391CPKINGM000</t>
  </si>
  <si>
    <t>G1391CPPRESC000</t>
  </si>
  <si>
    <t>G1391CPSCNHQ000</t>
  </si>
  <si>
    <t>G1391NTCOTTN000</t>
  </si>
  <si>
    <t>G1391NTFLAGA000</t>
  </si>
  <si>
    <t>G1391NTFLAGW000</t>
  </si>
  <si>
    <t>G1391NTHAVAS000</t>
  </si>
  <si>
    <t>G1391NTKINGM000</t>
  </si>
  <si>
    <t>G1391NTPRESC000</t>
  </si>
  <si>
    <t>G1391NTSHOWL000</t>
  </si>
  <si>
    <t>G1391OE00000000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</si>
  <si>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</si>
  <si>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</si>
  <si>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</si>
  <si>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</si>
  <si>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</si>
  <si>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</si>
  <si>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</si>
  <si>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</si>
  <si>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G1391OEWINSL000</t>
  </si>
  <si>
    <t>G398 Total</t>
  </si>
  <si>
    <t>Fortis Merger</t>
  </si>
  <si>
    <r>
      <rPr>
        <sz val="8"/>
        <color theme="1"/>
        <rFont val="Calibri"/>
        <family val="2"/>
      </rPr>
      <t xml:space="preserve">GL Company Number is equal to </t>
    </r>
    <r>
      <rPr>
        <b/>
        <sz val="8"/>
        <color theme="1"/>
        <rFont val="Calibri"/>
        <family val="2"/>
      </rPr>
      <t>032</t>
    </r>
  </si>
  <si>
    <t>Ending Balance 202406</t>
  </si>
  <si>
    <t>032</t>
  </si>
  <si>
    <t>Gas Distribution Plant</t>
  </si>
  <si>
    <t>G374 - Land and Land Rights</t>
  </si>
  <si>
    <t>G375 - Structures and Improvements</t>
  </si>
  <si>
    <t>G376 - Mains</t>
  </si>
  <si>
    <t>G378 - Measr and Reg Stat Equip-Gen</t>
  </si>
  <si>
    <t>G379 - Measr and Reg Stat Equip-Cty</t>
  </si>
  <si>
    <t>G380 - Services</t>
  </si>
  <si>
    <t>G381 - Meters</t>
  </si>
  <si>
    <t>G382 - Meter Installations</t>
  </si>
  <si>
    <t>G383 - House Regulators</t>
  </si>
  <si>
    <t>G384 - House Regulatory Install</t>
  </si>
  <si>
    <t>G385 - Indust Measr Reg Stat Equip</t>
  </si>
  <si>
    <t>G387 - Other Equipment</t>
  </si>
  <si>
    <t>Gas Distribution Plant Total</t>
  </si>
  <si>
    <t>Gas General Plant</t>
  </si>
  <si>
    <t>G389 - Land and Land Rights</t>
  </si>
  <si>
    <t>G390 - Structures and Improvements</t>
  </si>
  <si>
    <t>G391 - Office Furniture and Equip</t>
  </si>
  <si>
    <t>G392 - Transportation Equipment</t>
  </si>
  <si>
    <t>G393 - Stores Equipment</t>
  </si>
  <si>
    <t>G394 - Tool, Shop, and Garage Equip</t>
  </si>
  <si>
    <t>G395 - Laboratory Equipment</t>
  </si>
  <si>
    <t>G396 - Power Operated Equipment</t>
  </si>
  <si>
    <t>G397 - Communication Equipment</t>
  </si>
  <si>
    <t>G1397XXCOTTN000</t>
  </si>
  <si>
    <t>G1397XXFLAGA000</t>
  </si>
  <si>
    <t>G1397XXKINGM000</t>
  </si>
  <si>
    <t>G1397XXPRESC000</t>
  </si>
  <si>
    <t>G1397XXSCWH2000</t>
  </si>
  <si>
    <t>G1397XXSHOWL000</t>
  </si>
  <si>
    <t>G398 - Miscellaneous Equipment</t>
  </si>
  <si>
    <t>Gas General Plant Total</t>
  </si>
  <si>
    <t>Gas Intangible</t>
  </si>
  <si>
    <t>G302 - Franchise and Consents</t>
  </si>
  <si>
    <t>G303 - Misc Intangible Plant</t>
  </si>
  <si>
    <t>PC</t>
  </si>
  <si>
    <t>PC - Computer Equipment Desktop PCs</t>
  </si>
  <si>
    <t>G1303S100000000</t>
  </si>
  <si>
    <t>Gas Intangible Total</t>
  </si>
  <si>
    <t>Gas Transmission Plant</t>
  </si>
  <si>
    <t>G365 - Land and Land Rights</t>
  </si>
  <si>
    <t>G366 - Structures and Improvements</t>
  </si>
  <si>
    <t>G367 - Mains</t>
  </si>
  <si>
    <t>G369 - Measuring and Reg Stat Equip</t>
  </si>
  <si>
    <t>G371 - Other Equipment</t>
  </si>
  <si>
    <t>Gas Transmission Plant Total</t>
  </si>
  <si>
    <t>032 Total</t>
  </si>
  <si>
    <t>1st half of 2024</t>
  </si>
  <si>
    <t>Second Half of 2023</t>
  </si>
  <si>
    <t>LINK:</t>
  </si>
  <si>
    <t>374RA00000</t>
  </si>
  <si>
    <t>376XX00000</t>
  </si>
  <si>
    <t>378XX00000</t>
  </si>
  <si>
    <t>379XX00000</t>
  </si>
  <si>
    <t>380XX00000</t>
  </si>
  <si>
    <t>381XX00000</t>
  </si>
  <si>
    <t>382XX00000</t>
  </si>
  <si>
    <t>383XX00000</t>
  </si>
  <si>
    <t>384XX00000</t>
  </si>
  <si>
    <t>385XX00000</t>
  </si>
  <si>
    <t>387XX00000</t>
  </si>
  <si>
    <t>390XX00000</t>
  </si>
  <si>
    <t>391NT00000</t>
  </si>
  <si>
    <t>391OE00000</t>
  </si>
  <si>
    <t>392C300000</t>
  </si>
  <si>
    <t>394XX00000</t>
  </si>
  <si>
    <t>397XX00000</t>
  </si>
  <si>
    <t>Concatenate</t>
  </si>
  <si>
    <t>Time run: 9/18/2024 8:36:22 AM</t>
  </si>
  <si>
    <t>Beginning Balance 202406</t>
  </si>
  <si>
    <t>0114</t>
  </si>
  <si>
    <t>ES</t>
  </si>
  <si>
    <t>ES - Easements</t>
  </si>
  <si>
    <t>G4374ES00000000</t>
  </si>
  <si>
    <t>G4374LD00000000</t>
  </si>
  <si>
    <t>G4374RW00000000</t>
  </si>
  <si>
    <t>G4374XX00000000</t>
  </si>
  <si>
    <t>G374 - Land and Land Rights Total</t>
  </si>
  <si>
    <t>G4375XX00000000</t>
  </si>
  <si>
    <t>G375 - Structures and Improvements Total</t>
  </si>
  <si>
    <t>G4376XX00000000</t>
  </si>
  <si>
    <t>G376 - Mains Total</t>
  </si>
  <si>
    <t>G4378XX00000000</t>
  </si>
  <si>
    <t>G378 - Measr and Reg Stat Equip-Gen Total</t>
  </si>
  <si>
    <t>G4379XX00000000</t>
  </si>
  <si>
    <t>G379 - Measr and Reg Stat Equip-Cty Total</t>
  </si>
  <si>
    <t>G4380XX00000000</t>
  </si>
  <si>
    <t>G380 - Services Total</t>
  </si>
  <si>
    <t>G4381XX00000000</t>
  </si>
  <si>
    <t>G381 - Meters Total</t>
  </si>
  <si>
    <t>G4382XX00000000</t>
  </si>
  <si>
    <t>G382 - Meter Installations Total</t>
  </si>
  <si>
    <t>G4383XX00000000</t>
  </si>
  <si>
    <t>G383 - House Regulators Total</t>
  </si>
  <si>
    <t>G4384XX00000000</t>
  </si>
  <si>
    <t>G384 - House Regulatory Install Total</t>
  </si>
  <si>
    <t>G4385XX00000000</t>
  </si>
  <si>
    <t>G385 - Indust Measr Reg Stat Equip Total</t>
  </si>
  <si>
    <t>G4387XX00000000</t>
  </si>
  <si>
    <t>G387 - Other Equipment Total</t>
  </si>
  <si>
    <t>G4389LD00000000</t>
  </si>
  <si>
    <t>G4389RW00000000</t>
  </si>
  <si>
    <t>G389 - Land and Land Rights Total</t>
  </si>
  <si>
    <t>G4390XX00000000</t>
  </si>
  <si>
    <t>G390 - Structures and Improvements Total</t>
  </si>
  <si>
    <t>G4391OE00000000</t>
  </si>
  <si>
    <t>G391 - Office Furniture and Equip Total</t>
  </si>
  <si>
    <t>G4393XX00000000</t>
  </si>
  <si>
    <t>G393 - Stores Equipment Total</t>
  </si>
  <si>
    <t>G4394XX00000000</t>
  </si>
  <si>
    <t>G394 - Tool, Shop, and Garage Equip Total</t>
  </si>
  <si>
    <t>G4396XX00000000</t>
  </si>
  <si>
    <t>G396 - Power Operated Equipment Total</t>
  </si>
  <si>
    <t>G4398XX00000000</t>
  </si>
  <si>
    <t>G398 - Miscellaneous Equipment Total</t>
  </si>
  <si>
    <t>G4302XX00000000</t>
  </si>
  <si>
    <t>G302 - Franchise and Consents Total</t>
  </si>
  <si>
    <t>G4303XX00000000</t>
  </si>
  <si>
    <t>G303 - Misc Intangible Plant Total</t>
  </si>
  <si>
    <t>G4365RW00000000</t>
  </si>
  <si>
    <t>G365 - Land and Land Rights Total</t>
  </si>
  <si>
    <t>G4366XX00000000</t>
  </si>
  <si>
    <t>G366 - Structures and Improvements Total</t>
  </si>
  <si>
    <t>G4367XX00000000</t>
  </si>
  <si>
    <t>G367 - Mains Total</t>
  </si>
  <si>
    <t>G4369XX00000000</t>
  </si>
  <si>
    <t>G369 - Measuring and Reg Stat Equip Total</t>
  </si>
  <si>
    <t>G4371XX00000000</t>
  </si>
  <si>
    <t>G371 - Other Equipment Total</t>
  </si>
  <si>
    <t>Tab - Fortis Merger Proforma</t>
  </si>
  <si>
    <t>3A</t>
  </si>
  <si>
    <t>UNS GAS, INC.</t>
  </si>
  <si>
    <t>Comparison of Current and Proposed Accrual Rates</t>
  </si>
  <si>
    <t>Current: VG Procedure / RL Technique</t>
  </si>
  <si>
    <t>Proposed: VG Procedure / RL Technique</t>
  </si>
  <si>
    <t>G:\PLANTACC\Rate Case\UNSG\2024-06 UNSG Rate Case\1 - Proformas\Depr_Amort Exp Annualization\Support not included\Exhibit REW-1.pdf</t>
  </si>
  <si>
    <t>Current (at 12/31/2023)</t>
  </si>
  <si>
    <t>Proposed (at 12/31/2023)</t>
  </si>
  <si>
    <t>Meas. And Reg Station Equipment</t>
  </si>
  <si>
    <t>Meas. and Reg. Station Equip. - General</t>
  </si>
  <si>
    <t>Meas. and Reg. Station Equip. - City Gate</t>
  </si>
  <si>
    <t>House Regulator Installations</t>
  </si>
  <si>
    <t>Industrial Meas. and Reg. Station Equip.</t>
  </si>
  <si>
    <t>Other Work Equipment</t>
  </si>
  <si>
    <t>Franchises and Consents</t>
  </si>
  <si>
    <t>Miscellaneous Intangible Plant</t>
  </si>
  <si>
    <t>Computer Equipment - Desktop PCs</t>
  </si>
  <si>
    <t>← 25 Year Amortization →</t>
  </si>
  <si>
    <t>←   15 Year Amortization →</t>
  </si>
  <si>
    <t>←   22 Year Amortization →</t>
  </si>
  <si>
    <t>← 5 Year Amortization →</t>
  </si>
  <si>
    <t>← 35 Year Amortization →</t>
  </si>
  <si>
    <t>← 9 Year Amortization →</t>
  </si>
  <si>
    <t xml:space="preserve">       TOTAL GAS UTILITY</t>
  </si>
  <si>
    <t>GRFTH</t>
  </si>
  <si>
    <t>between the detail and totals.</t>
  </si>
  <si>
    <t>This report displays 0 decimals, meaning there could be slight rounding variances</t>
  </si>
  <si>
    <t>Note: The total lines are calculated off the actual dollars sitting under the parent dimensions.</t>
  </si>
  <si>
    <t>Total General Plant</t>
  </si>
  <si>
    <t>G398_SP - Miscellaneous Equipment</t>
  </si>
  <si>
    <t>G397_SP - Communication Equipment</t>
  </si>
  <si>
    <t>G396_SP - Power Operated Equipment</t>
  </si>
  <si>
    <t>G395_SP - Laboratory Equipment</t>
  </si>
  <si>
    <t>G394_SP - Tools - Shop and Garage Equipment</t>
  </si>
  <si>
    <t>G393_SP - Stores Equipment</t>
  </si>
  <si>
    <t>G391_SP - Office Furniture and Equipment</t>
  </si>
  <si>
    <t>G390_SP - Structures and Improvements</t>
  </si>
  <si>
    <t>G389_SP - Land and Land Rights</t>
  </si>
  <si>
    <t>Total Distribution</t>
  </si>
  <si>
    <t>G387_SP - Other Equipment</t>
  </si>
  <si>
    <t>G385_SP - Industrial Measuring Regulating Station Equipment</t>
  </si>
  <si>
    <t>G384_SP - House Regulatory Installations</t>
  </si>
  <si>
    <t>G383_SP - House Regulators</t>
  </si>
  <si>
    <t>G382_SP - Meter Installations</t>
  </si>
  <si>
    <t>G381_SP - Meters</t>
  </si>
  <si>
    <t>G380_SP - Services</t>
  </si>
  <si>
    <t>G379_SP - Measuring and Regulating Station Equipment-City</t>
  </si>
  <si>
    <t>G378_SP - Measuring and Regulating Station Equipment-Gen</t>
  </si>
  <si>
    <t>G376_SP - Mains</t>
  </si>
  <si>
    <t>G375_SP - Structures and Improvements</t>
  </si>
  <si>
    <t>G374_SP - Land and Land Rights</t>
  </si>
  <si>
    <t>Total Transmission</t>
  </si>
  <si>
    <t>G371_SP - Other Equipment</t>
  </si>
  <si>
    <t>G369_SP - Measuring and Regulating Station Equipment</t>
  </si>
  <si>
    <t>G367_SP - Mains</t>
  </si>
  <si>
    <t>G366_SP - Structures and Improvements</t>
  </si>
  <si>
    <t>G365_SP - Land and Land Rights</t>
  </si>
  <si>
    <t>Total Intangible</t>
  </si>
  <si>
    <t>G303_SP - Miscellaneous Intangible Plant</t>
  </si>
  <si>
    <t>G302_SP - Franchise and Consents</t>
  </si>
  <si>
    <t>Total 403, 404, 406</t>
  </si>
  <si>
    <t>Total 4 &amp; 3</t>
  </si>
  <si>
    <t>Depreciation Expense Detail - Gas</t>
  </si>
  <si>
    <t>UNS Gas Inc.</t>
  </si>
  <si>
    <t>S</t>
  </si>
  <si>
    <t>T</t>
  </si>
  <si>
    <t>U</t>
  </si>
  <si>
    <t>V</t>
  </si>
  <si>
    <t>W</t>
  </si>
  <si>
    <t>X</t>
  </si>
  <si>
    <t>Y</t>
  </si>
  <si>
    <t>AA</t>
  </si>
  <si>
    <t>Time run: 9/18/2024 12:28:06 PM</t>
  </si>
  <si>
    <r>
      <rPr>
        <sz val="8"/>
        <color theme="1"/>
        <rFont val="Calibri"/>
        <family val="2"/>
      </rPr>
      <t xml:space="preserve">FERC is equal to / is in </t>
    </r>
    <r>
      <rPr>
        <b/>
        <sz val="8"/>
        <color theme="1"/>
        <rFont val="Calibri"/>
        <family val="2"/>
      </rPr>
      <t>0114</t>
    </r>
  </si>
  <si>
    <r>
      <rPr>
        <sz val="8"/>
        <color theme="1"/>
        <rFont val="Calibri"/>
        <family val="2"/>
      </rPr>
      <t xml:space="preserve">GL Company Number is equal to / is in </t>
    </r>
    <r>
      <rPr>
        <b/>
        <sz val="8"/>
        <color theme="1"/>
        <rFont val="Calibri"/>
        <family val="2"/>
      </rPr>
      <t>032</t>
    </r>
  </si>
  <si>
    <r>
      <rPr>
        <sz val="8"/>
        <color theme="1"/>
        <rFont val="Calibri"/>
        <family val="2"/>
      </rPr>
      <t xml:space="preserve">Asset Location begins with </t>
    </r>
    <r>
      <rPr>
        <b/>
        <sz val="8"/>
        <color theme="1"/>
        <rFont val="Calibri"/>
        <family val="2"/>
      </rPr>
      <t>SOUNI</t>
    </r>
  </si>
  <si>
    <t>SOUNI - Southern Union Gas Acquisition Adjustment</t>
  </si>
  <si>
    <t>Exclude G396</t>
  </si>
  <si>
    <t>South Union</t>
  </si>
  <si>
    <t>Depr expense Southern Union</t>
  </si>
  <si>
    <t>Depr Rates</t>
  </si>
  <si>
    <t>Citizens</t>
  </si>
  <si>
    <t>Depr Exp for Citizens</t>
  </si>
  <si>
    <r>
      <rPr>
        <sz val="8"/>
        <color theme="1"/>
        <rFont val="Calibri"/>
        <family val="2"/>
      </rPr>
      <t xml:space="preserve">Asset Location begins with </t>
    </r>
    <r>
      <rPr>
        <b/>
        <sz val="8"/>
        <color theme="1"/>
        <rFont val="Calibri"/>
        <family val="2"/>
      </rPr>
      <t>00000</t>
    </r>
  </si>
  <si>
    <r>
      <rPr>
        <sz val="8"/>
        <color theme="1"/>
        <rFont val="Calibri"/>
        <family val="2"/>
      </rPr>
      <t xml:space="preserve">Depreciation Group Description is LIKE (pattern match) </t>
    </r>
    <r>
      <rPr>
        <b/>
        <sz val="8"/>
        <color theme="1"/>
        <rFont val="Calibri"/>
        <family val="2"/>
      </rPr>
      <t>G4%</t>
    </r>
  </si>
  <si>
    <t>Exported from PowerPlan</t>
  </si>
  <si>
    <t>Month 1 Total Rate</t>
  </si>
  <si>
    <t>Month 1 Cor Rate</t>
  </si>
  <si>
    <t>Month 1 Life Rate</t>
  </si>
  <si>
    <t>Company Id</t>
  </si>
  <si>
    <t>Month Number 2</t>
  </si>
  <si>
    <t>Transportation Equipment - C1</t>
  </si>
  <si>
    <t>Transportation Equipment - C2</t>
  </si>
  <si>
    <t>Transportation Equipment - C3</t>
  </si>
  <si>
    <t>Transportation Equipment - C5</t>
  </si>
  <si>
    <t>Transportation Equipment - C6</t>
  </si>
  <si>
    <t>Transportation Equipment - C7</t>
  </si>
  <si>
    <t>Transportation Equipment - C9</t>
  </si>
  <si>
    <t xml:space="preserve">Mains </t>
  </si>
  <si>
    <t>Meters Installations</t>
  </si>
  <si>
    <t>Manual Add - Same rate currently used for both 381 &amp; 382</t>
  </si>
  <si>
    <t>302</t>
  </si>
  <si>
    <t>Measuring and Regulating Station Equipment</t>
  </si>
  <si>
    <t>Page 7</t>
  </si>
  <si>
    <t>Exclude - Asset fully depreciated - See G4396 Tab</t>
  </si>
  <si>
    <t>Ties to Total 0406 - Depreciation Actuals detail tab</t>
  </si>
  <si>
    <t>Used '00000' for all General Plant FERCs. All have same rates.</t>
  </si>
  <si>
    <t>NOTES:</t>
  </si>
  <si>
    <t>Expense removed for FERC G392- this is allocated via PA250. Treated identical to TEP rate case.</t>
  </si>
  <si>
    <t>Manual input of Software Sub accounts S1 (3 Year standalone) and S2 (5 Year standalone)</t>
  </si>
  <si>
    <t>Manual input of 0% rate for G374 LD - Land not depreciable</t>
  </si>
  <si>
    <t>.</t>
  </si>
  <si>
    <t>Pages 1-1.1</t>
  </si>
  <si>
    <t>Z</t>
  </si>
  <si>
    <t>TEST YEAR ENDED JUNE 30, 2024</t>
  </si>
  <si>
    <t>ENTRY TOTAL</t>
  </si>
  <si>
    <t>Net Entry</t>
  </si>
  <si>
    <t>Reason for Adjustment</t>
  </si>
  <si>
    <t>Build Out Plant Adjustment</t>
  </si>
  <si>
    <t>RATE BASE PRO FORMA ADJUSTMENT</t>
  </si>
  <si>
    <t>Build-Out Plant Adjustment</t>
  </si>
  <si>
    <t>Rate Base</t>
  </si>
  <si>
    <t>Nicholas Carrillo</t>
  </si>
  <si>
    <t>Damon Skondin 08/01/2024</t>
  </si>
  <si>
    <t>Rigo Ramirez 08/21/2024</t>
  </si>
  <si>
    <t>Plant in Service</t>
  </si>
  <si>
    <t>Meas. and Reg. Station Equipment - General</t>
  </si>
  <si>
    <t>Meas. and Reg. Station Equipment - City Gate</t>
  </si>
  <si>
    <t>Accumulated Provision - Depreciation</t>
  </si>
  <si>
    <t>To adjust rate base to reflect the $10 million disallowance per the settlement agreement. The allowance was allocated to the primary Transmission &amp; Distribution accounts because there was no specific plant identified within the settlement order or agreement (ACC Decision No. 66028).</t>
  </si>
  <si>
    <t>Golden Valley Pipeline</t>
  </si>
  <si>
    <t>Tab - Golden Valley Pipeline Proforma</t>
  </si>
  <si>
    <t>8A</t>
  </si>
  <si>
    <t>Griffith Plant</t>
  </si>
  <si>
    <t>Tab - Griffith Plant Proforma</t>
  </si>
  <si>
    <t xml:space="preserve">Tab - BuildOut Plant Profroma </t>
  </si>
  <si>
    <t>Page 8</t>
  </si>
  <si>
    <t>G:\PLANTACC\Rate Case\UNSG\2024-06 UNSG Rate Case\1 - Proformas\Depr_Amort Exp Annualization\Support not included\Rate Base - Build-Out Plant Adjustment.xlsx</t>
  </si>
  <si>
    <t>Page 2</t>
  </si>
  <si>
    <t>2A</t>
  </si>
  <si>
    <t>Depreciation and Amortization Expense Annualization</t>
  </si>
  <si>
    <t>Time run: 6/10/2026 12:04:17 PM</t>
  </si>
  <si>
    <t>Beginning Balance 202512</t>
  </si>
  <si>
    <t>G1374ES00000000</t>
  </si>
  <si>
    <t>Assigned PTYP amounts to depr group with largest balances.</t>
  </si>
  <si>
    <t>TEST YEAR ENDED JUNE 30, 2026</t>
  </si>
  <si>
    <t>check</t>
  </si>
  <si>
    <t>6/10/2026 3:58:22 PM</t>
  </si>
  <si>
    <t>H2 2025</t>
  </si>
  <si>
    <t>2nd half of 2025 (6 Months)</t>
  </si>
  <si>
    <t>Ending Balance 202606</t>
  </si>
  <si>
    <t>Total Cost 06/2026</t>
  </si>
  <si>
    <t>Adjusted Total Cost 06/2026</t>
  </si>
  <si>
    <t>Sum of JUL-26 thru DEC-26 Total</t>
  </si>
  <si>
    <t>Assigning to Depr group largest total cost 06/2026</t>
  </si>
  <si>
    <t>Assigned E397 Total to 1 depr group</t>
  </si>
  <si>
    <t>7/13/2026 2:18:29 PM</t>
  </si>
  <si>
    <t>Round up</t>
  </si>
  <si>
    <t xml:space="preserve"> Depr Expense Actual 6 months 2025 + 6 Months 2026</t>
  </si>
  <si>
    <t>1st Half of 2026 (6 Months)</t>
  </si>
  <si>
    <t>To annualize depreciation expense utilitizing depreciation rates less test year depreciation expense.</t>
  </si>
  <si>
    <t>UNS Gas, Inc.</t>
  </si>
  <si>
    <t>Rider 11 - Annual Rate Adjustment Mechanism ("ARAM")</t>
  </si>
  <si>
    <t>Attachment B - Formula Rate Template</t>
  </si>
  <si>
    <t>A5-01</t>
  </si>
  <si>
    <t>Gas Plant Balances</t>
  </si>
  <si>
    <t>Accumulated Depreciation</t>
  </si>
  <si>
    <t>Net Plant in Service</t>
  </si>
  <si>
    <t>Accumulated Depreciation as Percent of Plant</t>
  </si>
  <si>
    <t>(Per Schedule B of 2001 Test-Year Settlement in ACC Decision No. 66028)</t>
  </si>
  <si>
    <t>Total Plant Disallowed Calculation</t>
  </si>
  <si>
    <t>Let X = Plant in Service</t>
  </si>
  <si>
    <t>X - 0.22125X = $10,000,000</t>
  </si>
  <si>
    <t>0.77875X = $10,000,000</t>
  </si>
  <si>
    <t>X = $12,841,091</t>
  </si>
  <si>
    <t>Build-Out Plant Disallowed</t>
  </si>
  <si>
    <t>Total Plant Disallowed</t>
  </si>
  <si>
    <t>Net Plant Disallowed</t>
  </si>
  <si>
    <t>PIS - Credit</t>
  </si>
  <si>
    <t>Accumualted Depreciation</t>
  </si>
  <si>
    <t>Total Accumulated Depreciation *</t>
  </si>
  <si>
    <t>AD - Debit</t>
  </si>
  <si>
    <t>Net - Credit</t>
  </si>
  <si>
    <t>Same total as current Proforma. Using this split as current file doesn't split out between FERC</t>
  </si>
  <si>
    <t>G:\PLANTACC\Rate Case\UNSG\1 - UNSG ARAM\12 Months Ended June 2026\3 - Depr_Amort_Exp Annualization\Files not Sent\UNSG Depr and Amor  ADIT Supporting Adjustments JUNE.xlsx</t>
  </si>
  <si>
    <t>A5-03</t>
  </si>
  <si>
    <t>Functional Group</t>
  </si>
  <si>
    <t>Description</t>
  </si>
  <si>
    <t>UNSE's Share of Capital Costs</t>
  </si>
  <si>
    <t>Core Customer's Share of Capital Costs</t>
  </si>
  <si>
    <t>Total Capital Cost</t>
  </si>
  <si>
    <t>UNSE's Share of Reserve</t>
  </si>
  <si>
    <t>Core Customer's Share of Reserve</t>
  </si>
  <si>
    <t>Total Reserve (Estimated)</t>
  </si>
  <si>
    <t>Mains (Distribution)</t>
  </si>
  <si>
    <t>Measuring and Regulating Station Equipment-City Gate (Distribution)</t>
  </si>
  <si>
    <t>A5-04</t>
  </si>
  <si>
    <t>Book Cost</t>
  </si>
  <si>
    <t>Allocated Reserve</t>
  </si>
  <si>
    <t>GRFTH - Griffith</t>
  </si>
  <si>
    <t>05/2026</t>
  </si>
  <si>
    <t>G:\PLANTACC\Rate Case\UNSG\1 - UNSG ARAM\12 Months Ended June 2026\2 - Post Test Year Plant\Post Test Year - Jun-26.xlsx</t>
  </si>
  <si>
    <t>A5-11</t>
  </si>
  <si>
    <t>UNS Gas</t>
  </si>
  <si>
    <t>Amortization Schedule</t>
  </si>
  <si>
    <t>FERC:</t>
  </si>
  <si>
    <t>Account Description:</t>
  </si>
  <si>
    <t>P-Life/AYFR:</t>
  </si>
  <si>
    <t>A5-02</t>
  </si>
  <si>
    <t>A5-02 / 35</t>
  </si>
  <si>
    <t>Total Capitalized:</t>
  </si>
  <si>
    <t>Annual Amt:</t>
  </si>
  <si>
    <t>Semi-Annual Amt:</t>
  </si>
  <si>
    <t>YR</t>
  </si>
  <si>
    <t>TEST YEAR</t>
  </si>
  <si>
    <t>ACCUMULATED
 DEPRECIATION</t>
  </si>
  <si>
    <t>Through 6/30/24</t>
  </si>
  <si>
    <t>Through 6/30/25</t>
  </si>
  <si>
    <t>Through 6/30/26</t>
  </si>
  <si>
    <t>H2 2026</t>
  </si>
  <si>
    <t>Total  403, 404, 406 - 12 Months</t>
  </si>
  <si>
    <t>5A</t>
  </si>
  <si>
    <t>Page 6-6.1</t>
  </si>
  <si>
    <t>Page 5</t>
  </si>
  <si>
    <t>406 Acq Disc</t>
  </si>
  <si>
    <t>Change</t>
  </si>
  <si>
    <t>Adjuested change compare</t>
  </si>
  <si>
    <t>Reasonable</t>
  </si>
  <si>
    <t xml:space="preserve">Rate Change </t>
  </si>
  <si>
    <t>Change in rates on beginning asset base</t>
  </si>
  <si>
    <t>Change in base (Proforma Adjustments)</t>
  </si>
  <si>
    <t>label</t>
  </si>
  <si>
    <t>Beginning Plant in Service</t>
  </si>
  <si>
    <t>Transfers In</t>
  </si>
  <si>
    <t>Transfers Out</t>
  </si>
  <si>
    <t>Ending Plant in Service</t>
  </si>
  <si>
    <t>Total Beginning Reserve Balance</t>
  </si>
  <si>
    <t>Total Depreciable Base</t>
  </si>
  <si>
    <t>Total Annual Provision Rate</t>
  </si>
  <si>
    <t>Total Provision</t>
  </si>
  <si>
    <t>Total Provision Input Adjustment</t>
  </si>
  <si>
    <t>Total Provision Calculated Adjustment</t>
  </si>
  <si>
    <t>Estimated Annual Net Additions</t>
  </si>
  <si>
    <t>Beginning Reserve Balance (Less COR)</t>
  </si>
  <si>
    <t>Depreciable Base</t>
  </si>
  <si>
    <t>Annual Provision Rate</t>
  </si>
  <si>
    <t>Depreciation Provision</t>
  </si>
  <si>
    <t>Depreciation Input Adjustment</t>
  </si>
  <si>
    <t>Depreciation Calculated Adjustment</t>
  </si>
  <si>
    <t>Page 9</t>
  </si>
  <si>
    <t>Remove 4 months of Actual rate change included in column X</t>
  </si>
  <si>
    <t>Sum of Activity Cost</t>
  </si>
  <si>
    <t>Page 10</t>
  </si>
  <si>
    <t>Tab - Retirements</t>
  </si>
  <si>
    <t xml:space="preserve">Estimated Retirements Jul-26 thru Dec-26 </t>
  </si>
  <si>
    <t>Estimated PTYP Retirements Jul-26 - Dec-26</t>
  </si>
  <si>
    <t>7/13/2026, Revised 8/7/2026</t>
  </si>
  <si>
    <t>Revised to include Estimated PTYP Retirements Jul-26 - Dec-26</t>
  </si>
  <si>
    <t>9A</t>
  </si>
  <si>
    <t>Post Year Retirements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</si>
</sst>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_);\(#,##0.0000\)"/>
    <numFmt numFmtId="165" formatCode="_(* #,##0_);_(* \(#,##0\);_(* &quot;-&quot;??_);_(@_)"/>
    <numFmt numFmtId="166" formatCode="[$-409]mmm\-yy;@"/>
    <numFmt numFmtId="167" formatCode="0.0%"/>
    <numFmt numFmtId="168" formatCode="#,##0\ ;\(#,##0\)"/>
    <numFmt numFmtId="169" formatCode="mmmm\ d\,\ yyyy"/>
    <numFmt numFmtId="170" formatCode="_(&quot;$&quot;* #,##0_);_(&quot;$&quot;* \(#,##0\);_(&quot;$&quot;* &quot;-&quot;??_);_(@_)"/>
    <numFmt numFmtId="171" formatCode="0.0000%"/>
  </numFmts>
  <fonts count="104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  <font>
      <b/>
      <sz val="8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theme="5" tint="-0.249977111117893"/>
      <name val="Calibri"/>
      <family val="2"/>
      <scheme val="minor"/>
    </font>
    <font>
      <b/>
      <sz val="8"/>
      <color theme="9" tint="-0.499984740745262"/>
      <name val="Calibri"/>
      <family val="2"/>
    </font>
    <font>
      <b/>
      <sz val="8"/>
      <color theme="8" tint="0.59999389629810485"/>
      <name val="Calibri"/>
      <family val="2"/>
    </font>
    <font>
      <b/>
      <sz val="8"/>
      <color rgb="FFC00000"/>
      <name val="Calibri"/>
      <family val="2"/>
    </font>
    <font>
      <sz val="8"/>
      <color theme="5" tint="-0.249977111117893"/>
      <name val="Calibri"/>
      <family val="2"/>
    </font>
    <font>
      <sz val="11"/>
      <color theme="1"/>
      <name val="Calibri"/>
      <family val="2"/>
    </font>
    <font>
      <sz val="9"/>
      <color rgb="FF0070C0"/>
      <name val="Calibri"/>
      <family val="2"/>
      <scheme val="minor"/>
    </font>
    <font>
      <b/>
      <sz val="8"/>
      <color theme="1"/>
      <name val="MS Shell Dlg"/>
    </font>
    <font>
      <sz val="8"/>
      <color theme="1"/>
      <name val="MS Shell Dlg"/>
    </font>
    <font>
      <b/>
      <sz val="9.8000000000000007"/>
      <color theme="1"/>
      <name val="Arial,sans-serif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rgb="FF0000CC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2"/>
      <color indexed="8"/>
      <name val="SWISS"/>
    </font>
    <font>
      <sz val="12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2"/>
      <color rgb="FFFF0000"/>
      <name val="Arial"/>
      <family val="2"/>
    </font>
    <font>
      <b/>
      <sz val="14"/>
      <color indexed="8"/>
      <name val="Arial"/>
      <family val="2"/>
    </font>
    <font>
      <u/>
      <sz val="8"/>
      <color theme="10"/>
      <name val="Calibri"/>
      <family val="2"/>
    </font>
    <font>
      <sz val="11"/>
      <color theme="1"/>
      <name val="Calibri"/>
      <family val="2"/>
    </font>
    <font>
      <sz val="12"/>
      <color rgb="FF0000FF"/>
      <name val="Arial"/>
      <family val="2"/>
    </font>
    <font>
      <sz val="12"/>
      <color rgb="FF303AF8"/>
      <name val="Arial"/>
      <family val="2"/>
    </font>
    <font>
      <sz val="8"/>
      <color rgb="FF303AF8"/>
      <name val="Calibri"/>
      <family val="2"/>
    </font>
    <font>
      <b/>
      <sz val="8"/>
      <name val="Calibri"/>
      <family val="2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6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303AF8"/>
      <name val="Calibri"/>
      <family val="2"/>
    </font>
    <font>
      <b/>
      <sz val="9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F4FA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79991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D0D7E5"/>
      </top>
      <bottom style="thin">
        <color rgb="FFD0D7E5"/>
      </bottom>
      <diagonal/>
    </border>
    <border>
      <left/>
      <right/>
      <top/>
      <bottom style="thick">
        <color rgb="FFB0C4DE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79991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D0D7E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D0D7E5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4">
    <xf numFmtId="0" fontId="0" fillId="0" borderId="0"/>
    <xf numFmtId="0" fontId="15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11" fillId="0" borderId="0"/>
    <xf numFmtId="0" fontId="21" fillId="0" borderId="0"/>
    <xf numFmtId="44" fontId="20" fillId="0" borderId="0" applyFont="0" applyFill="0" applyBorder="0" applyAlignment="0" applyProtection="0"/>
    <xf numFmtId="0" fontId="22" fillId="0" borderId="0"/>
    <xf numFmtId="0" fontId="22" fillId="0" borderId="0"/>
    <xf numFmtId="0" fontId="20" fillId="0" borderId="0"/>
    <xf numFmtId="0" fontId="20" fillId="0" borderId="0"/>
    <xf numFmtId="43" fontId="39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9" fillId="0" borderId="0"/>
    <xf numFmtId="0" fontId="54" fillId="0" borderId="0" applyNumberFormat="0" applyFill="0" applyBorder="0" applyAlignment="0" applyProtection="0"/>
    <xf numFmtId="0" fontId="8" fillId="0" borderId="0"/>
    <xf numFmtId="0" fontId="64" fillId="20" borderId="0"/>
    <xf numFmtId="9" fontId="6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64" fillId="20" borderId="0"/>
    <xf numFmtId="0" fontId="6" fillId="0" borderId="0"/>
    <xf numFmtId="0" fontId="5" fillId="0" borderId="0"/>
    <xf numFmtId="43" fontId="15" fillId="0" borderId="0" applyFont="0" applyFill="0" applyBorder="0" applyAlignment="0" applyProtection="0"/>
    <xf numFmtId="0" fontId="52" fillId="0" borderId="0"/>
    <xf numFmtId="9" fontId="15" fillId="0" borderId="0" applyFont="0" applyFill="0" applyBorder="0" applyAlignment="0" applyProtection="0"/>
    <xf numFmtId="0" fontId="15" fillId="0" borderId="0"/>
    <xf numFmtId="9" fontId="4" fillId="0" borderId="0" applyFont="0" applyFill="0" applyBorder="0" applyAlignment="0" applyProtection="0"/>
    <xf numFmtId="0" fontId="4" fillId="0" borderId="0"/>
    <xf numFmtId="0" fontId="15" fillId="0" borderId="0"/>
    <xf numFmtId="0" fontId="86" fillId="0" borderId="0"/>
    <xf numFmtId="0" fontId="3" fillId="0" borderId="0"/>
    <xf numFmtId="44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</cellStyleXfs>
  <cellXfs count="735">
    <xf numFmtId="0" fontId="0" fillId="0" borderId="0" xfId="0"/>
    <xf numFmtId="0" fontId="14" fillId="0" borderId="0" xfId="5" applyFont="1"/>
    <xf numFmtId="0" fontId="0" fillId="0" borderId="0" xfId="0" pivotButton="1"/>
    <xf numFmtId="0" fontId="0" fillId="0" borderId="0" xfId="0" applyAlignment="1">
      <alignment horizontal="left"/>
    </xf>
    <xf numFmtId="0" fontId="28" fillId="0" borderId="0" xfId="5" applyFont="1"/>
    <xf numFmtId="0" fontId="30" fillId="0" borderId="0" xfId="0" applyFont="1"/>
    <xf numFmtId="165" fontId="30" fillId="0" borderId="0" xfId="0" applyNumberFormat="1" applyFont="1"/>
    <xf numFmtId="165" fontId="30" fillId="6" borderId="0" xfId="0" applyNumberFormat="1" applyFont="1" applyFill="1"/>
    <xf numFmtId="0" fontId="33" fillId="0" borderId="1" xfId="0" applyFont="1" applyBorder="1"/>
    <xf numFmtId="165" fontId="33" fillId="0" borderId="1" xfId="0" applyNumberFormat="1" applyFont="1" applyBorder="1"/>
    <xf numFmtId="0" fontId="33" fillId="0" borderId="0" xfId="0" applyFont="1"/>
    <xf numFmtId="0" fontId="38" fillId="0" borderId="0" xfId="0" quotePrefix="1" applyFont="1"/>
    <xf numFmtId="164" fontId="30" fillId="0" borderId="0" xfId="0" applyNumberFormat="1" applyFont="1"/>
    <xf numFmtId="165" fontId="31" fillId="0" borderId="0" xfId="0" applyNumberFormat="1" applyFont="1"/>
    <xf numFmtId="0" fontId="31" fillId="0" borderId="0" xfId="0" applyFont="1"/>
    <xf numFmtId="0" fontId="20" fillId="0" borderId="0" xfId="5"/>
    <xf numFmtId="0" fontId="0" fillId="15" borderId="0" xfId="0" applyFill="1" applyAlignment="1">
      <alignment horizontal="left" wrapText="1"/>
    </xf>
    <xf numFmtId="0" fontId="41" fillId="15" borderId="0" xfId="0" applyFont="1" applyFill="1" applyAlignment="1">
      <alignment horizontal="center" wrapText="1"/>
    </xf>
    <xf numFmtId="0" fontId="0" fillId="15" borderId="0" xfId="0" applyFill="1" applyAlignment="1">
      <alignment horizontal="right" wrapText="1"/>
    </xf>
    <xf numFmtId="0" fontId="42" fillId="15" borderId="0" xfId="0" applyFont="1" applyFill="1" applyAlignment="1">
      <alignment horizontal="left" wrapText="1"/>
    </xf>
    <xf numFmtId="37" fontId="42" fillId="15" borderId="0" xfId="0" applyNumberFormat="1" applyFont="1" applyFill="1" applyAlignment="1">
      <alignment horizontal="right" wrapText="1"/>
    </xf>
    <xf numFmtId="37" fontId="41" fillId="15" borderId="0" xfId="0" applyNumberFormat="1" applyFont="1" applyFill="1" applyAlignment="1">
      <alignment horizontal="right" wrapText="1"/>
    </xf>
    <xf numFmtId="0" fontId="42" fillId="15" borderId="0" xfId="0" applyFont="1" applyFill="1" applyAlignment="1">
      <alignment horizontal="left" wrapText="1" indent="2"/>
    </xf>
    <xf numFmtId="0" fontId="0" fillId="0" borderId="0" xfId="0" applyAlignment="1">
      <alignment wrapText="1"/>
    </xf>
    <xf numFmtId="0" fontId="46" fillId="15" borderId="17" xfId="0" applyFont="1" applyFill="1" applyBorder="1" applyAlignment="1">
      <alignment horizontal="left" vertical="top" wrapText="1"/>
    </xf>
    <xf numFmtId="0" fontId="48" fillId="0" borderId="0" xfId="18" applyFont="1" applyAlignment="1">
      <alignment horizontal="left"/>
    </xf>
    <xf numFmtId="0" fontId="16" fillId="0" borderId="0" xfId="18" applyFont="1"/>
    <xf numFmtId="0" fontId="16" fillId="0" borderId="0" xfId="18" applyFont="1" applyAlignment="1">
      <alignment horizontal="left"/>
    </xf>
    <xf numFmtId="0" fontId="16" fillId="0" borderId="0" xfId="18" applyFont="1" applyAlignment="1">
      <alignment horizontal="left" wrapText="1"/>
    </xf>
    <xf numFmtId="43" fontId="16" fillId="0" borderId="0" xfId="19" applyFont="1" applyAlignment="1">
      <alignment horizontal="center"/>
    </xf>
    <xf numFmtId="43" fontId="16" fillId="0" borderId="0" xfId="19" applyFont="1"/>
    <xf numFmtId="0" fontId="16" fillId="0" borderId="0" xfId="18" applyFont="1" applyAlignment="1">
      <alignment horizontal="right"/>
    </xf>
    <xf numFmtId="0" fontId="16" fillId="0" borderId="0" xfId="18" applyFont="1" applyAlignment="1">
      <alignment horizontal="center"/>
    </xf>
    <xf numFmtId="0" fontId="16" fillId="0" borderId="0" xfId="18" applyFont="1" applyAlignment="1">
      <alignment wrapText="1"/>
    </xf>
    <xf numFmtId="0" fontId="53" fillId="0" borderId="0" xfId="18" applyFont="1" applyAlignment="1">
      <alignment horizontal="left"/>
    </xf>
    <xf numFmtId="0" fontId="47" fillId="0" borderId="0" xfId="18" applyFont="1"/>
    <xf numFmtId="0" fontId="47" fillId="0" borderId="0" xfId="18" applyFont="1" applyAlignment="1">
      <alignment horizontal="left"/>
    </xf>
    <xf numFmtId="0" fontId="18" fillId="0" borderId="0" xfId="18" applyFont="1" applyAlignment="1">
      <alignment horizontal="left" wrapText="1"/>
    </xf>
    <xf numFmtId="43" fontId="47" fillId="0" borderId="0" xfId="19" applyFont="1" applyAlignment="1">
      <alignment horizontal="center"/>
    </xf>
    <xf numFmtId="43" fontId="47" fillId="0" borderId="0" xfId="19" applyFont="1"/>
    <xf numFmtId="0" fontId="47" fillId="0" borderId="0" xfId="18" applyFont="1" applyAlignment="1">
      <alignment horizontal="right"/>
    </xf>
    <xf numFmtId="0" fontId="47" fillId="0" borderId="0" xfId="18" applyFont="1" applyAlignment="1">
      <alignment horizontal="center"/>
    </xf>
    <xf numFmtId="14" fontId="47" fillId="0" borderId="0" xfId="18" applyNumberFormat="1" applyFont="1" applyAlignment="1">
      <alignment wrapText="1"/>
    </xf>
    <xf numFmtId="166" fontId="18" fillId="17" borderId="7" xfId="18" quotePrefix="1" applyNumberFormat="1" applyFont="1" applyFill="1" applyBorder="1" applyAlignment="1">
      <alignment horizontal="center"/>
    </xf>
    <xf numFmtId="0" fontId="18" fillId="0" borderId="0" xfId="18" applyFont="1" applyAlignment="1">
      <alignment horizontal="center"/>
    </xf>
    <xf numFmtId="0" fontId="18" fillId="0" borderId="0" xfId="18" applyFont="1" applyAlignment="1">
      <alignment horizontal="right"/>
    </xf>
    <xf numFmtId="0" fontId="18" fillId="0" borderId="0" xfId="18" applyFont="1"/>
    <xf numFmtId="0" fontId="18" fillId="0" borderId="18" xfId="18" applyFont="1" applyBorder="1" applyAlignment="1">
      <alignment horizontal="center" wrapText="1"/>
    </xf>
    <xf numFmtId="0" fontId="18" fillId="0" borderId="19" xfId="18" applyFont="1" applyBorder="1" applyAlignment="1">
      <alignment horizontal="left" wrapText="1"/>
    </xf>
    <xf numFmtId="0" fontId="18" fillId="0" borderId="20" xfId="18" applyFont="1" applyBorder="1" applyAlignment="1">
      <alignment horizontal="left" wrapText="1"/>
    </xf>
    <xf numFmtId="0" fontId="18" fillId="0" borderId="21" xfId="18" applyFont="1" applyBorder="1" applyAlignment="1">
      <alignment horizontal="left" wrapText="1"/>
    </xf>
    <xf numFmtId="0" fontId="18" fillId="0" borderId="20" xfId="18" applyFont="1" applyBorder="1" applyAlignment="1">
      <alignment horizontal="center" wrapText="1"/>
    </xf>
    <xf numFmtId="0" fontId="18" fillId="0" borderId="28" xfId="18" applyFont="1" applyBorder="1" applyAlignment="1">
      <alignment horizontal="center" wrapText="1"/>
    </xf>
    <xf numFmtId="0" fontId="18" fillId="0" borderId="0" xfId="18" applyFont="1" applyAlignment="1">
      <alignment horizontal="center" wrapText="1"/>
    </xf>
    <xf numFmtId="0" fontId="18" fillId="0" borderId="31" xfId="18" applyFont="1" applyBorder="1" applyAlignment="1">
      <alignment horizontal="center" vertical="center" wrapText="1"/>
    </xf>
    <xf numFmtId="0" fontId="18" fillId="0" borderId="32" xfId="18" applyFont="1" applyBorder="1" applyAlignment="1">
      <alignment horizontal="center" vertical="center" wrapText="1"/>
    </xf>
    <xf numFmtId="0" fontId="18" fillId="0" borderId="31" xfId="18" applyFont="1" applyBorder="1" applyAlignment="1">
      <alignment horizontal="left" vertical="center" wrapText="1"/>
    </xf>
    <xf numFmtId="0" fontId="18" fillId="0" borderId="33" xfId="18" applyFont="1" applyBorder="1" applyAlignment="1">
      <alignment horizontal="left" vertical="center" wrapText="1"/>
    </xf>
    <xf numFmtId="0" fontId="18" fillId="0" borderId="34" xfId="18" applyFont="1" applyBorder="1" applyAlignment="1">
      <alignment horizontal="left" vertical="center" wrapText="1"/>
    </xf>
    <xf numFmtId="0" fontId="18" fillId="0" borderId="35" xfId="18" applyFont="1" applyBorder="1" applyAlignment="1">
      <alignment horizontal="center" vertical="center" wrapText="1"/>
    </xf>
    <xf numFmtId="0" fontId="18" fillId="0" borderId="36" xfId="18" applyFont="1" applyBorder="1" applyAlignment="1">
      <alignment horizontal="center" vertical="center" wrapText="1"/>
    </xf>
    <xf numFmtId="43" fontId="18" fillId="0" borderId="34" xfId="19" applyFont="1" applyBorder="1" applyAlignment="1">
      <alignment horizontal="center" vertical="center" wrapText="1"/>
    </xf>
    <xf numFmtId="43" fontId="18" fillId="0" borderId="37" xfId="19" applyFont="1" applyBorder="1" applyAlignment="1">
      <alignment horizontal="center" vertical="center" wrapText="1"/>
    </xf>
    <xf numFmtId="43" fontId="18" fillId="0" borderId="37" xfId="19" quotePrefix="1" applyFont="1" applyBorder="1" applyAlignment="1">
      <alignment horizontal="center" vertical="center" wrapText="1"/>
    </xf>
    <xf numFmtId="43" fontId="18" fillId="0" borderId="38" xfId="19" applyFont="1" applyBorder="1" applyAlignment="1">
      <alignment horizontal="center" vertical="center" wrapText="1"/>
    </xf>
    <xf numFmtId="0" fontId="18" fillId="0" borderId="39" xfId="18" quotePrefix="1" applyFont="1" applyBorder="1" applyAlignment="1">
      <alignment horizontal="center" vertical="center" wrapText="1"/>
    </xf>
    <xf numFmtId="0" fontId="18" fillId="0" borderId="40" xfId="18" applyFont="1" applyBorder="1" applyAlignment="1">
      <alignment horizontal="center" vertical="center" wrapText="1"/>
    </xf>
    <xf numFmtId="0" fontId="18" fillId="0" borderId="39" xfId="18" applyFont="1" applyBorder="1" applyAlignment="1">
      <alignment horizontal="center" vertical="center" wrapText="1"/>
    </xf>
    <xf numFmtId="0" fontId="18" fillId="0" borderId="41" xfId="18" applyFont="1" applyBorder="1" applyAlignment="1">
      <alignment horizontal="center" vertical="center" wrapText="1"/>
    </xf>
    <xf numFmtId="0" fontId="18" fillId="0" borderId="0" xfId="18" applyFont="1" applyAlignment="1">
      <alignment horizontal="right" vertical="center" wrapText="1"/>
    </xf>
    <xf numFmtId="166" fontId="16" fillId="0" borderId="42" xfId="18" applyNumberFormat="1" applyFont="1" applyBorder="1" applyAlignment="1">
      <alignment horizontal="center" vertical="top"/>
    </xf>
    <xf numFmtId="0" fontId="16" fillId="0" borderId="43" xfId="18" applyFont="1" applyBorder="1" applyAlignment="1">
      <alignment horizontal="center" vertical="top"/>
    </xf>
    <xf numFmtId="0" fontId="16" fillId="0" borderId="44" xfId="18" applyFont="1" applyBorder="1" applyAlignment="1">
      <alignment horizontal="center" vertical="top"/>
    </xf>
    <xf numFmtId="0" fontId="16" fillId="0" borderId="44" xfId="21" applyFont="1" applyBorder="1" applyAlignment="1">
      <alignment vertical="top"/>
    </xf>
    <xf numFmtId="0" fontId="16" fillId="0" borderId="45" xfId="18" applyFont="1" applyBorder="1" applyAlignment="1">
      <alignment horizontal="left" vertical="top"/>
    </xf>
    <xf numFmtId="14" fontId="16" fillId="0" borderId="9" xfId="18" applyNumberFormat="1" applyFont="1" applyBorder="1" applyAlignment="1">
      <alignment horizontal="left" vertical="top" wrapText="1"/>
    </xf>
    <xf numFmtId="49" fontId="16" fillId="0" borderId="9" xfId="21" applyNumberFormat="1" applyFont="1" applyBorder="1" applyAlignment="1">
      <alignment horizontal="left" vertical="top"/>
    </xf>
    <xf numFmtId="0" fontId="16" fillId="0" borderId="46" xfId="18" applyFont="1" applyBorder="1" applyAlignment="1">
      <alignment horizontal="left" vertical="top"/>
    </xf>
    <xf numFmtId="43" fontId="16" fillId="0" borderId="7" xfId="19" applyFont="1" applyBorder="1" applyAlignment="1">
      <alignment horizontal="center" vertical="top"/>
    </xf>
    <xf numFmtId="43" fontId="16" fillId="0" borderId="7" xfId="19" applyFont="1" applyBorder="1" applyAlignment="1">
      <alignment vertical="top"/>
    </xf>
    <xf numFmtId="43" fontId="16" fillId="0" borderId="8" xfId="19" applyFont="1" applyBorder="1" applyAlignment="1">
      <alignment vertical="top"/>
    </xf>
    <xf numFmtId="0" fontId="16" fillId="0" borderId="45" xfId="18" quotePrefix="1" applyFont="1" applyBorder="1" applyAlignment="1">
      <alignment horizontal="center" vertical="top"/>
    </xf>
    <xf numFmtId="0" fontId="16" fillId="0" borderId="47" xfId="18" applyFont="1" applyBorder="1" applyAlignment="1">
      <alignment horizontal="center" vertical="top"/>
    </xf>
    <xf numFmtId="0" fontId="16" fillId="0" borderId="44" xfId="21" applyFont="1" applyBorder="1" applyAlignment="1">
      <alignment vertical="top" wrapText="1"/>
    </xf>
    <xf numFmtId="0" fontId="16" fillId="0" borderId="45" xfId="21" applyFont="1" applyBorder="1" applyAlignment="1">
      <alignment horizontal="center" vertical="top"/>
    </xf>
    <xf numFmtId="14" fontId="16" fillId="0" borderId="8" xfId="18" applyNumberFormat="1" applyFont="1" applyBorder="1" applyAlignment="1">
      <alignment horizontal="center" vertical="top"/>
    </xf>
    <xf numFmtId="43" fontId="16" fillId="0" borderId="0" xfId="19" applyFont="1" applyAlignment="1">
      <alignment vertical="top"/>
    </xf>
    <xf numFmtId="0" fontId="16" fillId="0" borderId="0" xfId="18" applyFont="1" applyAlignment="1">
      <alignment vertical="top"/>
    </xf>
    <xf numFmtId="43" fontId="16" fillId="0" borderId="7" xfId="19" applyFont="1" applyFill="1" applyBorder="1" applyAlignment="1">
      <alignment vertical="top"/>
    </xf>
    <xf numFmtId="43" fontId="16" fillId="12" borderId="7" xfId="19" applyFont="1" applyFill="1" applyBorder="1" applyAlignment="1">
      <alignment vertical="top"/>
    </xf>
    <xf numFmtId="43" fontId="16" fillId="8" borderId="7" xfId="19" applyFont="1" applyFill="1" applyBorder="1" applyAlignment="1">
      <alignment vertical="top"/>
    </xf>
    <xf numFmtId="0" fontId="16" fillId="0" borderId="45" xfId="18" applyFont="1" applyBorder="1" applyAlignment="1">
      <alignment horizontal="center" vertical="top"/>
    </xf>
    <xf numFmtId="14" fontId="16" fillId="0" borderId="43" xfId="18" applyNumberFormat="1" applyFont="1" applyBorder="1" applyAlignment="1">
      <alignment horizontal="center" vertical="top"/>
    </xf>
    <xf numFmtId="0" fontId="16" fillId="0" borderId="45" xfId="21" applyFont="1" applyBorder="1" applyAlignment="1">
      <alignment horizontal="left" vertical="top"/>
    </xf>
    <xf numFmtId="0" fontId="16" fillId="0" borderId="9" xfId="18" applyFont="1" applyBorder="1" applyAlignment="1">
      <alignment horizontal="left" vertical="top"/>
    </xf>
    <xf numFmtId="43" fontId="16" fillId="0" borderId="7" xfId="19" applyFont="1" applyFill="1" applyBorder="1" applyAlignment="1">
      <alignment horizontal="center" vertical="top"/>
    </xf>
    <xf numFmtId="43" fontId="16" fillId="0" borderId="2" xfId="19" applyFont="1" applyBorder="1" applyAlignment="1">
      <alignment vertical="top"/>
    </xf>
    <xf numFmtId="0" fontId="16" fillId="0" borderId="45" xfId="18" applyFont="1" applyBorder="1" applyAlignment="1">
      <alignment horizontal="right" vertical="top"/>
    </xf>
    <xf numFmtId="0" fontId="16" fillId="0" borderId="47" xfId="18" applyFont="1" applyBorder="1" applyAlignment="1">
      <alignment horizontal="right" vertical="top"/>
    </xf>
    <xf numFmtId="0" fontId="16" fillId="0" borderId="44" xfId="18" applyFont="1" applyBorder="1" applyAlignment="1">
      <alignment vertical="top" wrapText="1"/>
    </xf>
    <xf numFmtId="14" fontId="16" fillId="0" borderId="0" xfId="18" applyNumberFormat="1" applyFont="1" applyAlignment="1">
      <alignment horizontal="center" vertical="top"/>
    </xf>
    <xf numFmtId="0" fontId="16" fillId="0" borderId="0" xfId="18" applyFont="1" applyAlignment="1">
      <alignment horizontal="center" vertical="top"/>
    </xf>
    <xf numFmtId="0" fontId="16" fillId="0" borderId="0" xfId="18" applyFont="1" applyAlignment="1">
      <alignment horizontal="left" vertical="top"/>
    </xf>
    <xf numFmtId="14" fontId="16" fillId="0" borderId="0" xfId="18" applyNumberFormat="1" applyFont="1" applyAlignment="1">
      <alignment horizontal="left" vertical="top" wrapText="1"/>
    </xf>
    <xf numFmtId="43" fontId="16" fillId="0" borderId="0" xfId="19" applyFont="1" applyBorder="1" applyAlignment="1">
      <alignment horizontal="center" vertical="top"/>
    </xf>
    <xf numFmtId="43" fontId="16" fillId="0" borderId="0" xfId="19" applyFont="1" applyFill="1" applyBorder="1" applyAlignment="1">
      <alignment horizontal="center" vertical="top"/>
    </xf>
    <xf numFmtId="43" fontId="16" fillId="0" borderId="0" xfId="19" applyFont="1" applyFill="1" applyBorder="1" applyAlignment="1">
      <alignment vertical="top"/>
    </xf>
    <xf numFmtId="43" fontId="48" fillId="0" borderId="0" xfId="19" applyFont="1" applyAlignment="1">
      <alignment horizontal="center"/>
    </xf>
    <xf numFmtId="0" fontId="16" fillId="0" borderId="0" xfId="18" applyFont="1" applyAlignment="1">
      <alignment horizontal="right" vertical="top"/>
    </xf>
    <xf numFmtId="0" fontId="16" fillId="0" borderId="0" xfId="18" applyFont="1" applyAlignment="1">
      <alignment vertical="top" wrapText="1"/>
    </xf>
    <xf numFmtId="43" fontId="16" fillId="0" borderId="0" xfId="19" applyFont="1" applyAlignment="1">
      <alignment horizontal="right" wrapText="1"/>
    </xf>
    <xf numFmtId="43" fontId="48" fillId="0" borderId="0" xfId="19" applyFont="1" applyFill="1" applyBorder="1" applyAlignment="1">
      <alignment vertical="top"/>
    </xf>
    <xf numFmtId="0" fontId="16" fillId="0" borderId="4" xfId="18" applyFont="1" applyBorder="1" applyAlignment="1">
      <alignment wrapText="1"/>
    </xf>
    <xf numFmtId="14" fontId="16" fillId="0" borderId="4" xfId="19" applyNumberFormat="1" applyFont="1" applyBorder="1"/>
    <xf numFmtId="14" fontId="40" fillId="0" borderId="4" xfId="18" applyNumberFormat="1" applyFont="1" applyBorder="1" applyAlignment="1">
      <alignment wrapText="1"/>
    </xf>
    <xf numFmtId="14" fontId="40" fillId="0" borderId="4" xfId="19" applyNumberFormat="1" applyFont="1" applyBorder="1"/>
    <xf numFmtId="0" fontId="56" fillId="0" borderId="0" xfId="18" applyFont="1" applyAlignment="1">
      <alignment horizontal="left"/>
    </xf>
    <xf numFmtId="0" fontId="54" fillId="0" borderId="0" xfId="22" applyAlignment="1">
      <alignment horizontal="left"/>
    </xf>
    <xf numFmtId="43" fontId="18" fillId="0" borderId="0" xfId="19" applyFont="1" applyFill="1" applyBorder="1" applyAlignment="1">
      <alignment vertical="top"/>
    </xf>
    <xf numFmtId="43" fontId="19" fillId="0" borderId="0" xfId="19" applyFont="1" applyFill="1" applyBorder="1" applyAlignment="1">
      <alignment horizontal="center" vertical="top"/>
    </xf>
    <xf numFmtId="43" fontId="18" fillId="10" borderId="7" xfId="19" applyFont="1" applyFill="1" applyBorder="1" applyAlignment="1">
      <alignment horizontal="center" vertical="center"/>
    </xf>
    <xf numFmtId="43" fontId="18" fillId="18" borderId="7" xfId="19" applyFont="1" applyFill="1" applyBorder="1" applyAlignment="1">
      <alignment horizontal="center" vertical="center"/>
    </xf>
    <xf numFmtId="0" fontId="57" fillId="0" borderId="0" xfId="18" applyFont="1" applyAlignment="1">
      <alignment horizontal="right"/>
    </xf>
    <xf numFmtId="14" fontId="57" fillId="0" borderId="0" xfId="18" applyNumberFormat="1" applyFont="1" applyAlignment="1">
      <alignment wrapText="1"/>
    </xf>
    <xf numFmtId="43" fontId="16" fillId="0" borderId="0" xfId="19" applyFont="1" applyAlignment="1">
      <alignment horizontal="left" wrapText="1"/>
    </xf>
    <xf numFmtId="49" fontId="16" fillId="0" borderId="0" xfId="19" applyNumberFormat="1" applyFont="1" applyAlignment="1">
      <alignment horizontal="center" vertical="center"/>
    </xf>
    <xf numFmtId="165" fontId="16" fillId="0" borderId="0" xfId="19" applyNumberFormat="1" applyFont="1"/>
    <xf numFmtId="165" fontId="16" fillId="0" borderId="0" xfId="19" applyNumberFormat="1" applyFont="1" applyAlignment="1">
      <alignment horizontal="right"/>
    </xf>
    <xf numFmtId="43" fontId="16" fillId="0" borderId="0" xfId="19" applyFont="1" applyAlignment="1">
      <alignment horizontal="right"/>
    </xf>
    <xf numFmtId="165" fontId="16" fillId="0" borderId="48" xfId="19" applyNumberFormat="1" applyFont="1" applyBorder="1"/>
    <xf numFmtId="43" fontId="16" fillId="0" borderId="0" xfId="19" applyFont="1" applyAlignment="1">
      <alignment horizontal="left"/>
    </xf>
    <xf numFmtId="43" fontId="16" fillId="0" borderId="0" xfId="18" applyNumberFormat="1" applyFont="1" applyAlignment="1">
      <alignment horizontal="left"/>
    </xf>
    <xf numFmtId="43" fontId="0" fillId="0" borderId="0" xfId="16" applyFont="1"/>
    <xf numFmtId="0" fontId="58" fillId="0" borderId="0" xfId="1" applyFont="1" applyAlignment="1">
      <alignment horizontal="left" vertical="top"/>
    </xf>
    <xf numFmtId="0" fontId="15" fillId="0" borderId="0" xfId="1"/>
    <xf numFmtId="0" fontId="59" fillId="0" borderId="0" xfId="1" applyFont="1" applyAlignment="1">
      <alignment horizontal="left" vertical="top"/>
    </xf>
    <xf numFmtId="0" fontId="15" fillId="0" borderId="0" xfId="1" applyAlignment="1">
      <alignment horizontal="center" vertical="top"/>
    </xf>
    <xf numFmtId="0" fontId="15" fillId="0" borderId="0" xfId="1" applyAlignment="1">
      <alignment horizontal="left" vertical="top"/>
    </xf>
    <xf numFmtId="0" fontId="33" fillId="0" borderId="0" xfId="1" applyFont="1" applyAlignment="1">
      <alignment horizontal="center" vertical="top"/>
    </xf>
    <xf numFmtId="0" fontId="30" fillId="0" borderId="0" xfId="1" applyFont="1" applyAlignment="1">
      <alignment horizontal="right" vertical="top" wrapText="1"/>
    </xf>
    <xf numFmtId="0" fontId="30" fillId="16" borderId="14" xfId="1" applyFont="1" applyFill="1" applyBorder="1" applyAlignment="1">
      <alignment horizontal="left" vertical="top" wrapText="1"/>
    </xf>
    <xf numFmtId="0" fontId="30" fillId="16" borderId="15" xfId="1" applyFont="1" applyFill="1" applyBorder="1" applyAlignment="1">
      <alignment horizontal="left" vertical="top" wrapText="1"/>
    </xf>
    <xf numFmtId="0" fontId="30" fillId="16" borderId="16" xfId="1" applyFont="1" applyFill="1" applyBorder="1" applyAlignment="1">
      <alignment horizontal="left" vertical="top" wrapText="1"/>
    </xf>
    <xf numFmtId="0" fontId="30" fillId="15" borderId="17" xfId="1" applyFont="1" applyFill="1" applyBorder="1" applyAlignment="1">
      <alignment horizontal="left" vertical="top" wrapText="1"/>
    </xf>
    <xf numFmtId="39" fontId="30" fillId="15" borderId="17" xfId="1" applyNumberFormat="1" applyFont="1" applyFill="1" applyBorder="1" applyAlignment="1">
      <alignment horizontal="right" vertical="top" wrapText="1"/>
    </xf>
    <xf numFmtId="0" fontId="30" fillId="15" borderId="14" xfId="1" applyFont="1" applyFill="1" applyBorder="1" applyAlignment="1">
      <alignment horizontal="left" vertical="top" wrapText="1"/>
    </xf>
    <xf numFmtId="0" fontId="33" fillId="16" borderId="17" xfId="1" applyFont="1" applyFill="1" applyBorder="1" applyAlignment="1">
      <alignment horizontal="left" vertical="top" wrapText="1"/>
    </xf>
    <xf numFmtId="0" fontId="15" fillId="16" borderId="17" xfId="1" applyFill="1" applyBorder="1" applyAlignment="1">
      <alignment horizontal="left" vertical="top" wrapText="1"/>
    </xf>
    <xf numFmtId="39" fontId="33" fillId="16" borderId="17" xfId="1" applyNumberFormat="1" applyFont="1" applyFill="1" applyBorder="1" applyAlignment="1">
      <alignment horizontal="right" vertical="top" wrapText="1"/>
    </xf>
    <xf numFmtId="0" fontId="15" fillId="16" borderId="14" xfId="1" applyFill="1" applyBorder="1" applyAlignment="1">
      <alignment horizontal="left" vertical="top" wrapText="1"/>
    </xf>
    <xf numFmtId="0" fontId="15" fillId="0" borderId="0" xfId="1" applyAlignment="1">
      <alignment horizontal="center" vertical="top" wrapText="1"/>
    </xf>
    <xf numFmtId="0" fontId="17" fillId="0" borderId="0" xfId="1" applyFont="1"/>
    <xf numFmtId="0" fontId="17" fillId="0" borderId="49" xfId="1" applyFont="1" applyBorder="1"/>
    <xf numFmtId="0" fontId="33" fillId="8" borderId="0" xfId="1" applyFont="1" applyFill="1" applyAlignment="1">
      <alignment horizontal="center" vertical="top" wrapText="1"/>
    </xf>
    <xf numFmtId="0" fontId="30" fillId="8" borderId="17" xfId="1" applyFont="1" applyFill="1" applyBorder="1" applyAlignment="1">
      <alignment horizontal="left" vertical="top" wrapText="1"/>
    </xf>
    <xf numFmtId="0" fontId="15" fillId="8" borderId="17" xfId="1" applyFill="1" applyBorder="1" applyAlignment="1">
      <alignment horizontal="left" vertical="top" wrapText="1"/>
    </xf>
    <xf numFmtId="0" fontId="30" fillId="8" borderId="15" xfId="1" applyFont="1" applyFill="1" applyBorder="1" applyAlignment="1">
      <alignment horizontal="left" vertical="top" wrapText="1"/>
    </xf>
    <xf numFmtId="43" fontId="15" fillId="0" borderId="0" xfId="16" applyFont="1"/>
    <xf numFmtId="0" fontId="15" fillId="0" borderId="0" xfId="0" applyFont="1"/>
    <xf numFmtId="0" fontId="30" fillId="8" borderId="0" xfId="0" applyFont="1" applyFill="1"/>
    <xf numFmtId="0" fontId="62" fillId="0" borderId="0" xfId="1" applyFont="1"/>
    <xf numFmtId="0" fontId="49" fillId="0" borderId="0" xfId="1" applyFont="1"/>
    <xf numFmtId="0" fontId="49" fillId="0" borderId="0" xfId="1" applyFont="1" applyAlignment="1">
      <alignment horizontal="center"/>
    </xf>
    <xf numFmtId="0" fontId="30" fillId="19" borderId="0" xfId="0" applyFont="1" applyFill="1"/>
    <xf numFmtId="0" fontId="65" fillId="20" borderId="0" xfId="24" applyFont="1" applyProtection="1">
      <protection locked="0"/>
    </xf>
    <xf numFmtId="0" fontId="41" fillId="15" borderId="0" xfId="0" applyFont="1" applyFill="1" applyAlignment="1">
      <alignment horizontal="left" wrapText="1"/>
    </xf>
    <xf numFmtId="0" fontId="20" fillId="0" borderId="0" xfId="5" applyAlignment="1">
      <alignment horizontal="left"/>
    </xf>
    <xf numFmtId="0" fontId="20" fillId="0" borderId="0" xfId="5" applyAlignment="1">
      <alignment horizontal="left" indent="1"/>
    </xf>
    <xf numFmtId="0" fontId="20" fillId="0" borderId="0" xfId="5" pivotButton="1"/>
    <xf numFmtId="0" fontId="0" fillId="16" borderId="17" xfId="0" applyFill="1" applyBorder="1" applyAlignment="1">
      <alignment horizontal="left" vertical="top"/>
    </xf>
    <xf numFmtId="0" fontId="0" fillId="16" borderId="17" xfId="0" applyFill="1" applyBorder="1" applyAlignment="1">
      <alignment horizontal="right" vertical="top"/>
    </xf>
    <xf numFmtId="0" fontId="30" fillId="15" borderId="17" xfId="0" applyFont="1" applyFill="1" applyBorder="1" applyAlignment="1">
      <alignment horizontal="left" vertical="top"/>
    </xf>
    <xf numFmtId="0" fontId="33" fillId="16" borderId="17" xfId="0" applyFont="1" applyFill="1" applyBorder="1" applyAlignment="1">
      <alignment horizontal="left" vertical="top"/>
    </xf>
    <xf numFmtId="49" fontId="7" fillId="0" borderId="0" xfId="26" applyNumberFormat="1"/>
    <xf numFmtId="0" fontId="7" fillId="0" borderId="0" xfId="26"/>
    <xf numFmtId="43" fontId="0" fillId="0" borderId="0" xfId="27" applyFont="1"/>
    <xf numFmtId="49" fontId="60" fillId="0" borderId="0" xfId="26" applyNumberFormat="1" applyFont="1"/>
    <xf numFmtId="49" fontId="60" fillId="3" borderId="0" xfId="26" applyNumberFormat="1" applyFont="1" applyFill="1" applyAlignment="1">
      <alignment horizontal="center"/>
    </xf>
    <xf numFmtId="49" fontId="47" fillId="0" borderId="4" xfId="26" applyNumberFormat="1" applyFont="1" applyBorder="1" applyAlignment="1">
      <alignment wrapText="1"/>
    </xf>
    <xf numFmtId="0" fontId="47" fillId="0" borderId="4" xfId="26" applyFont="1" applyBorder="1" applyAlignment="1">
      <alignment wrapText="1"/>
    </xf>
    <xf numFmtId="0" fontId="47" fillId="0" borderId="0" xfId="26" applyFont="1" applyAlignment="1">
      <alignment wrapText="1"/>
    </xf>
    <xf numFmtId="43" fontId="47" fillId="0" borderId="0" xfId="27" applyFont="1" applyAlignment="1">
      <alignment wrapText="1"/>
    </xf>
    <xf numFmtId="14" fontId="7" fillId="0" borderId="0" xfId="26" applyNumberFormat="1"/>
    <xf numFmtId="8" fontId="7" fillId="0" borderId="0" xfId="26" applyNumberFormat="1"/>
    <xf numFmtId="49" fontId="7" fillId="12" borderId="0" xfId="26" applyNumberFormat="1" applyFill="1"/>
    <xf numFmtId="0" fontId="7" fillId="12" borderId="0" xfId="26" applyFill="1"/>
    <xf numFmtId="14" fontId="7" fillId="12" borderId="0" xfId="26" applyNumberFormat="1" applyFill="1"/>
    <xf numFmtId="8" fontId="7" fillId="12" borderId="0" xfId="26" applyNumberFormat="1" applyFill="1"/>
    <xf numFmtId="0" fontId="7" fillId="0" borderId="56" xfId="26" applyBorder="1"/>
    <xf numFmtId="8" fontId="7" fillId="0" borderId="56" xfId="26" applyNumberFormat="1" applyBorder="1"/>
    <xf numFmtId="0" fontId="47" fillId="12" borderId="0" xfId="26" applyFont="1" applyFill="1"/>
    <xf numFmtId="0" fontId="63" fillId="0" borderId="0" xfId="26" applyFont="1" applyAlignment="1">
      <alignment horizontal="center"/>
    </xf>
    <xf numFmtId="49" fontId="7" fillId="19" borderId="0" xfId="26" applyNumberFormat="1" applyFill="1"/>
    <xf numFmtId="0" fontId="67" fillId="20" borderId="0" xfId="24" applyFont="1"/>
    <xf numFmtId="10" fontId="67" fillId="20" borderId="0" xfId="24" applyNumberFormat="1" applyFont="1"/>
    <xf numFmtId="2" fontId="67" fillId="20" borderId="0" xfId="24" applyNumberFormat="1" applyFont="1"/>
    <xf numFmtId="0" fontId="67" fillId="20" borderId="0" xfId="24" applyFont="1" applyAlignment="1">
      <alignment horizontal="left" vertical="top"/>
    </xf>
    <xf numFmtId="0" fontId="68" fillId="20" borderId="0" xfId="24" applyFont="1"/>
    <xf numFmtId="10" fontId="67" fillId="20" borderId="54" xfId="24" applyNumberFormat="1" applyFont="1" applyBorder="1"/>
    <xf numFmtId="10" fontId="67" fillId="20" borderId="4" xfId="24" applyNumberFormat="1" applyFont="1" applyBorder="1"/>
    <xf numFmtId="167" fontId="67" fillId="20" borderId="0" xfId="24" applyNumberFormat="1" applyFont="1"/>
    <xf numFmtId="0" fontId="67" fillId="20" borderId="0" xfId="24" quotePrefix="1" applyFont="1"/>
    <xf numFmtId="0" fontId="64" fillId="20" borderId="0" xfId="24" applyAlignment="1">
      <alignment horizontal="center"/>
    </xf>
    <xf numFmtId="0" fontId="69" fillId="20" borderId="0" xfId="24" applyFont="1"/>
    <xf numFmtId="0" fontId="69" fillId="20" borderId="0" xfId="24" applyFont="1" applyAlignment="1">
      <alignment horizontal="center"/>
    </xf>
    <xf numFmtId="0" fontId="69" fillId="20" borderId="0" xfId="24" applyFont="1" applyAlignment="1">
      <alignment horizontal="centerContinuous"/>
    </xf>
    <xf numFmtId="0" fontId="67" fillId="20" borderId="54" xfId="24" applyFont="1" applyBorder="1" applyAlignment="1">
      <alignment horizontal="center" vertical="top"/>
    </xf>
    <xf numFmtId="0" fontId="67" fillId="20" borderId="54" xfId="24" applyFont="1" applyBorder="1" applyAlignment="1">
      <alignment vertical="top"/>
    </xf>
    <xf numFmtId="0" fontId="67" fillId="20" borderId="54" xfId="24" applyFont="1" applyBorder="1" applyAlignment="1">
      <alignment horizontal="centerContinuous" vertical="top"/>
    </xf>
    <xf numFmtId="0" fontId="67" fillId="20" borderId="53" xfId="24" applyFont="1" applyBorder="1" applyAlignment="1">
      <alignment horizontal="centerContinuous" vertical="top"/>
    </xf>
    <xf numFmtId="0" fontId="67" fillId="20" borderId="56" xfId="24" applyFont="1" applyBorder="1"/>
    <xf numFmtId="0" fontId="67" fillId="20" borderId="51" xfId="24" applyFont="1" applyBorder="1"/>
    <xf numFmtId="0" fontId="67" fillId="20" borderId="50" xfId="24" applyFont="1" applyBorder="1"/>
    <xf numFmtId="0" fontId="67" fillId="20" borderId="0" xfId="24" applyFont="1" applyAlignment="1">
      <alignment horizontal="centerContinuous"/>
    </xf>
    <xf numFmtId="0" fontId="67" fillId="20" borderId="0" xfId="24" applyFont="1" applyAlignment="1">
      <alignment vertical="center"/>
    </xf>
    <xf numFmtId="0" fontId="71" fillId="20" borderId="0" xfId="24" applyFont="1"/>
    <xf numFmtId="0" fontId="67" fillId="20" borderId="0" xfId="24" applyFont="1" applyAlignment="1">
      <alignment horizontal="center"/>
    </xf>
    <xf numFmtId="0" fontId="65" fillId="0" borderId="52" xfId="24" applyFont="1" applyFill="1" applyBorder="1" applyAlignment="1">
      <alignment horizontal="center"/>
    </xf>
    <xf numFmtId="0" fontId="67" fillId="20" borderId="57" xfId="24" applyFont="1" applyBorder="1" applyAlignment="1">
      <alignment horizontal="center"/>
    </xf>
    <xf numFmtId="0" fontId="64" fillId="20" borderId="0" xfId="24"/>
    <xf numFmtId="0" fontId="67" fillId="20" borderId="58" xfId="24" applyFont="1" applyBorder="1" applyAlignment="1">
      <alignment horizontal="center"/>
    </xf>
    <xf numFmtId="0" fontId="67" fillId="20" borderId="55" xfId="24" applyFont="1" applyBorder="1" applyAlignment="1">
      <alignment horizontal="center" vertical="top"/>
    </xf>
    <xf numFmtId="0" fontId="67" fillId="20" borderId="3" xfId="24" applyFont="1" applyBorder="1"/>
    <xf numFmtId="0" fontId="67" fillId="20" borderId="7" xfId="24" applyFont="1" applyBorder="1"/>
    <xf numFmtId="0" fontId="62" fillId="15" borderId="0" xfId="0" applyFont="1" applyFill="1" applyAlignment="1">
      <alignment horizontal="right" wrapText="1"/>
    </xf>
    <xf numFmtId="0" fontId="41" fillId="8" borderId="0" xfId="0" applyFont="1" applyFill="1" applyAlignment="1">
      <alignment horizontal="left" wrapText="1"/>
    </xf>
    <xf numFmtId="37" fontId="41" fillId="8" borderId="0" xfId="0" applyNumberFormat="1" applyFont="1" applyFill="1" applyAlignment="1">
      <alignment horizontal="right" wrapText="1"/>
    </xf>
    <xf numFmtId="0" fontId="62" fillId="8" borderId="0" xfId="0" applyFont="1" applyFill="1"/>
    <xf numFmtId="0" fontId="49" fillId="15" borderId="0" xfId="0" applyFont="1" applyFill="1" applyAlignment="1">
      <alignment horizontal="left" wrapText="1"/>
    </xf>
    <xf numFmtId="0" fontId="31" fillId="0" borderId="0" xfId="0" applyFont="1" applyAlignment="1">
      <alignment horizontal="center"/>
    </xf>
    <xf numFmtId="165" fontId="30" fillId="8" borderId="0" xfId="0" applyNumberFormat="1" applyFont="1" applyFill="1"/>
    <xf numFmtId="0" fontId="50" fillId="20" borderId="0" xfId="20" applyFill="1"/>
    <xf numFmtId="0" fontId="70" fillId="20" borderId="54" xfId="24" applyFont="1" applyBorder="1"/>
    <xf numFmtId="37" fontId="0" fillId="0" borderId="0" xfId="0" applyNumberFormat="1"/>
    <xf numFmtId="0" fontId="0" fillId="11" borderId="0" xfId="0" applyFill="1"/>
    <xf numFmtId="0" fontId="15" fillId="11" borderId="0" xfId="0" applyFont="1" applyFill="1"/>
    <xf numFmtId="0" fontId="0" fillId="0" borderId="0" xfId="0" applyAlignment="1">
      <alignment horizontal="center" wrapText="1"/>
    </xf>
    <xf numFmtId="0" fontId="4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37" fontId="42" fillId="0" borderId="0" xfId="0" applyNumberFormat="1" applyFont="1" applyAlignment="1">
      <alignment horizontal="right" wrapText="1"/>
    </xf>
    <xf numFmtId="37" fontId="41" fillId="0" borderId="0" xfId="0" applyNumberFormat="1" applyFont="1" applyAlignment="1">
      <alignment horizontal="right" wrapText="1"/>
    </xf>
    <xf numFmtId="37" fontId="62" fillId="0" borderId="0" xfId="0" applyNumberFormat="1" applyFont="1" applyAlignment="1">
      <alignment horizontal="right" wrapText="1"/>
    </xf>
    <xf numFmtId="37" fontId="0" fillId="8" borderId="0" xfId="0" applyNumberFormat="1" applyFill="1"/>
    <xf numFmtId="0" fontId="0" fillId="0" borderId="59" xfId="0" applyBorder="1"/>
    <xf numFmtId="0" fontId="41" fillId="15" borderId="59" xfId="0" applyFont="1" applyFill="1" applyBorder="1" applyAlignment="1">
      <alignment horizontal="center" wrapText="1"/>
    </xf>
    <xf numFmtId="37" fontId="0" fillId="0" borderId="59" xfId="0" applyNumberFormat="1" applyBorder="1"/>
    <xf numFmtId="37" fontId="0" fillId="12" borderId="59" xfId="0" applyNumberFormat="1" applyFill="1" applyBorder="1"/>
    <xf numFmtId="37" fontId="0" fillId="8" borderId="59" xfId="0" applyNumberFormat="1" applyFill="1" applyBorder="1"/>
    <xf numFmtId="37" fontId="0" fillId="12" borderId="60" xfId="0" applyNumberFormat="1" applyFill="1" applyBorder="1"/>
    <xf numFmtId="0" fontId="49" fillId="0" borderId="59" xfId="0" applyFont="1" applyBorder="1" applyAlignment="1">
      <alignment horizontal="center"/>
    </xf>
    <xf numFmtId="0" fontId="0" fillId="15" borderId="4" xfId="0" applyFill="1" applyBorder="1" applyAlignment="1">
      <alignment horizontal="center" wrapText="1"/>
    </xf>
    <xf numFmtId="0" fontId="41" fillId="15" borderId="4" xfId="0" applyFont="1" applyFill="1" applyBorder="1" applyAlignment="1">
      <alignment horizontal="center" wrapText="1"/>
    </xf>
    <xf numFmtId="0" fontId="41" fillId="15" borderId="10" xfId="0" applyFont="1" applyFill="1" applyBorder="1" applyAlignment="1">
      <alignment horizontal="center" wrapText="1"/>
    </xf>
    <xf numFmtId="37" fontId="0" fillId="3" borderId="59" xfId="0" applyNumberFormat="1" applyFill="1" applyBorder="1"/>
    <xf numFmtId="37" fontId="0" fillId="3" borderId="60" xfId="0" applyNumberFormat="1" applyFill="1" applyBorder="1"/>
    <xf numFmtId="37" fontId="0" fillId="19" borderId="59" xfId="0" applyNumberFormat="1" applyFill="1" applyBorder="1"/>
    <xf numFmtId="37" fontId="0" fillId="19" borderId="60" xfId="0" applyNumberFormat="1" applyFill="1" applyBorder="1"/>
    <xf numFmtId="0" fontId="49" fillId="0" borderId="0" xfId="0" applyFont="1" applyAlignment="1">
      <alignment horizontal="center"/>
    </xf>
    <xf numFmtId="4" fontId="14" fillId="0" borderId="0" xfId="5" applyNumberFormat="1" applyFont="1" applyAlignment="1">
      <alignment horizontal="right"/>
    </xf>
    <xf numFmtId="0" fontId="14" fillId="0" borderId="0" xfId="5" applyFont="1" applyAlignment="1">
      <alignment horizontal="right"/>
    </xf>
    <xf numFmtId="10" fontId="74" fillId="20" borderId="0" xfId="28" applyNumberFormat="1" applyFont="1" applyFill="1"/>
    <xf numFmtId="10" fontId="74" fillId="20" borderId="61" xfId="28" applyNumberFormat="1" applyFont="1" applyFill="1" applyBorder="1"/>
    <xf numFmtId="165" fontId="76" fillId="0" borderId="0" xfId="0" applyNumberFormat="1" applyFont="1"/>
    <xf numFmtId="0" fontId="75" fillId="20" borderId="54" xfId="24" applyFont="1" applyBorder="1" applyAlignment="1">
      <alignment horizontal="center" vertical="top" wrapText="1"/>
    </xf>
    <xf numFmtId="0" fontId="75" fillId="21" borderId="0" xfId="24" applyFont="1" applyFill="1"/>
    <xf numFmtId="0" fontId="61" fillId="0" borderId="0" xfId="0" applyFont="1"/>
    <xf numFmtId="164" fontId="61" fillId="0" borderId="0" xfId="0" applyNumberFormat="1" applyFont="1"/>
    <xf numFmtId="0" fontId="0" fillId="0" borderId="0" xfId="0" applyAlignment="1">
      <alignment horizontal="center" vertical="top" wrapText="1"/>
    </xf>
    <xf numFmtId="0" fontId="30" fillId="16" borderId="15" xfId="0" applyFont="1" applyFill="1" applyBorder="1" applyAlignment="1">
      <alignment horizontal="left" vertical="top" wrapText="1"/>
    </xf>
    <xf numFmtId="0" fontId="30" fillId="16" borderId="16" xfId="0" applyFont="1" applyFill="1" applyBorder="1" applyAlignment="1">
      <alignment horizontal="left" vertical="top" wrapText="1"/>
    </xf>
    <xf numFmtId="0" fontId="30" fillId="15" borderId="17" xfId="0" applyFont="1" applyFill="1" applyBorder="1" applyAlignment="1">
      <alignment horizontal="left" vertical="top" wrapText="1"/>
    </xf>
    <xf numFmtId="39" fontId="30" fillId="15" borderId="17" xfId="0" applyNumberFormat="1" applyFont="1" applyFill="1" applyBorder="1" applyAlignment="1">
      <alignment horizontal="right" vertical="top" wrapText="1"/>
    </xf>
    <xf numFmtId="0" fontId="0" fillId="15" borderId="17" xfId="0" applyFill="1" applyBorder="1" applyAlignment="1">
      <alignment horizontal="right" vertical="top" wrapText="1"/>
    </xf>
    <xf numFmtId="39" fontId="30" fillId="15" borderId="14" xfId="0" applyNumberFormat="1" applyFont="1" applyFill="1" applyBorder="1" applyAlignment="1">
      <alignment horizontal="right" vertical="top" wrapText="1"/>
    </xf>
    <xf numFmtId="0" fontId="33" fillId="16" borderId="17" xfId="0" applyFont="1" applyFill="1" applyBorder="1" applyAlignment="1">
      <alignment horizontal="left" vertical="top" wrapText="1"/>
    </xf>
    <xf numFmtId="0" fontId="0" fillId="16" borderId="17" xfId="0" applyFill="1" applyBorder="1" applyAlignment="1">
      <alignment horizontal="left" vertical="top" wrapText="1"/>
    </xf>
    <xf numFmtId="39" fontId="33" fillId="16" borderId="17" xfId="0" applyNumberFormat="1" applyFont="1" applyFill="1" applyBorder="1" applyAlignment="1">
      <alignment horizontal="right" vertical="top" wrapText="1"/>
    </xf>
    <xf numFmtId="0" fontId="0" fillId="16" borderId="17" xfId="0" applyFill="1" applyBorder="1" applyAlignment="1">
      <alignment horizontal="right" vertical="top" wrapText="1"/>
    </xf>
    <xf numFmtId="39" fontId="33" fillId="16" borderId="14" xfId="0" applyNumberFormat="1" applyFont="1" applyFill="1" applyBorder="1" applyAlignment="1">
      <alignment horizontal="right" vertical="top" wrapText="1"/>
    </xf>
    <xf numFmtId="43" fontId="50" fillId="0" borderId="0" xfId="20" applyNumberFormat="1"/>
    <xf numFmtId="43" fontId="72" fillId="0" borderId="0" xfId="16" applyFont="1"/>
    <xf numFmtId="43" fontId="49" fillId="0" borderId="0" xfId="16" applyFont="1"/>
    <xf numFmtId="0" fontId="29" fillId="0" borderId="0" xfId="1" applyFont="1"/>
    <xf numFmtId="0" fontId="64" fillId="20" borderId="4" xfId="24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5" fontId="30" fillId="0" borderId="0" xfId="16" applyNumberFormat="1" applyFont="1"/>
    <xf numFmtId="165" fontId="31" fillId="11" borderId="12" xfId="16" applyNumberFormat="1" applyFont="1" applyFill="1" applyBorder="1"/>
    <xf numFmtId="165" fontId="30" fillId="11" borderId="13" xfId="16" applyNumberFormat="1" applyFont="1" applyFill="1" applyBorder="1"/>
    <xf numFmtId="165" fontId="31" fillId="0" borderId="0" xfId="16" applyNumberFormat="1" applyFont="1" applyAlignment="1">
      <alignment horizontal="center"/>
    </xf>
    <xf numFmtId="165" fontId="32" fillId="2" borderId="7" xfId="16" applyNumberFormat="1" applyFont="1" applyFill="1" applyBorder="1" applyAlignment="1">
      <alignment horizontal="center" wrapText="1"/>
    </xf>
    <xf numFmtId="165" fontId="33" fillId="5" borderId="7" xfId="16" applyNumberFormat="1" applyFont="1" applyFill="1" applyBorder="1" applyAlignment="1">
      <alignment horizontal="center" wrapText="1"/>
    </xf>
    <xf numFmtId="165" fontId="33" fillId="0" borderId="1" xfId="16" applyNumberFormat="1" applyFont="1" applyBorder="1"/>
    <xf numFmtId="165" fontId="77" fillId="0" borderId="1" xfId="16" applyNumberFormat="1" applyFont="1" applyBorder="1"/>
    <xf numFmtId="165" fontId="33" fillId="0" borderId="0" xfId="16" applyNumberFormat="1" applyFont="1" applyAlignment="1">
      <alignment horizontal="center" wrapText="1"/>
    </xf>
    <xf numFmtId="165" fontId="31" fillId="0" borderId="0" xfId="16" applyNumberFormat="1" applyFont="1" applyAlignment="1">
      <alignment horizontal="center" vertical="top"/>
    </xf>
    <xf numFmtId="165" fontId="31" fillId="0" borderId="0" xfId="16" applyNumberFormat="1" applyFont="1" applyAlignment="1">
      <alignment horizontal="center" vertical="top" wrapText="1"/>
    </xf>
    <xf numFmtId="165" fontId="29" fillId="0" borderId="0" xfId="16" applyNumberFormat="1" applyFont="1" applyAlignment="1">
      <alignment horizontal="center"/>
    </xf>
    <xf numFmtId="165" fontId="0" fillId="0" borderId="0" xfId="16" applyNumberFormat="1" applyFont="1"/>
    <xf numFmtId="0" fontId="72" fillId="0" borderId="0" xfId="20" applyFont="1"/>
    <xf numFmtId="0" fontId="67" fillId="20" borderId="4" xfId="24" applyFont="1" applyBorder="1"/>
    <xf numFmtId="2" fontId="67" fillId="20" borderId="4" xfId="24" applyNumberFormat="1" applyFont="1" applyBorder="1"/>
    <xf numFmtId="0" fontId="67" fillId="20" borderId="4" xfId="24" quotePrefix="1" applyFont="1" applyBorder="1"/>
    <xf numFmtId="10" fontId="64" fillId="20" borderId="0" xfId="24" applyNumberFormat="1"/>
    <xf numFmtId="10" fontId="64" fillId="20" borderId="0" xfId="24" applyNumberFormat="1" applyAlignment="1">
      <alignment horizontal="center"/>
    </xf>
    <xf numFmtId="0" fontId="67" fillId="12" borderId="0" xfId="24" quotePrefix="1" applyFont="1" applyFill="1"/>
    <xf numFmtId="0" fontId="67" fillId="12" borderId="0" xfId="24" applyFont="1" applyFill="1"/>
    <xf numFmtId="10" fontId="67" fillId="12" borderId="0" xfId="24" applyNumberFormat="1" applyFont="1" applyFill="1"/>
    <xf numFmtId="2" fontId="67" fillId="12" borderId="0" xfId="24" applyNumberFormat="1" applyFont="1" applyFill="1"/>
    <xf numFmtId="0" fontId="67" fillId="12" borderId="0" xfId="24" applyFont="1" applyFill="1" applyAlignment="1">
      <alignment horizontal="left" vertical="top"/>
    </xf>
    <xf numFmtId="10" fontId="67" fillId="12" borderId="4" xfId="24" applyNumberFormat="1" applyFont="1" applyFill="1" applyBorder="1"/>
    <xf numFmtId="0" fontId="67" fillId="12" borderId="4" xfId="24" applyFont="1" applyFill="1" applyBorder="1"/>
    <xf numFmtId="2" fontId="67" fillId="12" borderId="4" xfId="24" applyNumberFormat="1" applyFont="1" applyFill="1" applyBorder="1"/>
    <xf numFmtId="0" fontId="67" fillId="12" borderId="4" xfId="24" quotePrefix="1" applyFont="1" applyFill="1" applyBorder="1"/>
    <xf numFmtId="10" fontId="64" fillId="12" borderId="0" xfId="24" applyNumberFormat="1" applyFill="1"/>
    <xf numFmtId="10" fontId="64" fillId="12" borderId="0" xfId="24" applyNumberFormat="1" applyFill="1" applyAlignment="1">
      <alignment horizontal="center"/>
    </xf>
    <xf numFmtId="167" fontId="67" fillId="12" borderId="0" xfId="24" applyNumberFormat="1" applyFont="1" applyFill="1" applyAlignment="1">
      <alignment horizontal="center"/>
    </xf>
    <xf numFmtId="0" fontId="64" fillId="12" borderId="0" xfId="24" applyFill="1" applyAlignment="1">
      <alignment horizontal="center"/>
    </xf>
    <xf numFmtId="167" fontId="67" fillId="12" borderId="0" xfId="24" applyNumberFormat="1" applyFont="1" applyFill="1"/>
    <xf numFmtId="0" fontId="64" fillId="12" borderId="0" xfId="24" applyFill="1"/>
    <xf numFmtId="10" fontId="64" fillId="20" borderId="4" xfId="24" applyNumberFormat="1" applyBorder="1"/>
    <xf numFmtId="10" fontId="64" fillId="20" borderId="4" xfId="24" applyNumberFormat="1" applyBorder="1" applyAlignment="1">
      <alignment horizontal="center"/>
    </xf>
    <xf numFmtId="0" fontId="67" fillId="20" borderId="4" xfId="24" applyFont="1" applyBorder="1" applyAlignment="1">
      <alignment horizontal="left" vertical="top"/>
    </xf>
    <xf numFmtId="167" fontId="67" fillId="20" borderId="4" xfId="24" applyNumberFormat="1" applyFont="1" applyBorder="1"/>
    <xf numFmtId="0" fontId="64" fillId="20" borderId="4" xfId="24" applyBorder="1"/>
    <xf numFmtId="0" fontId="52" fillId="0" borderId="0" xfId="33"/>
    <xf numFmtId="168" fontId="78" fillId="15" borderId="65" xfId="33" applyNumberFormat="1" applyFont="1" applyFill="1" applyBorder="1"/>
    <xf numFmtId="0" fontId="79" fillId="15" borderId="65" xfId="33" applyFont="1" applyFill="1" applyBorder="1"/>
    <xf numFmtId="168" fontId="78" fillId="15" borderId="66" xfId="33" applyNumberFormat="1" applyFont="1" applyFill="1" applyBorder="1"/>
    <xf numFmtId="168" fontId="78" fillId="15" borderId="67" xfId="33" applyNumberFormat="1" applyFont="1" applyFill="1" applyBorder="1"/>
    <xf numFmtId="168" fontId="78" fillId="15" borderId="68" xfId="33" applyNumberFormat="1" applyFont="1" applyFill="1" applyBorder="1"/>
    <xf numFmtId="0" fontId="52" fillId="15" borderId="65" xfId="33" applyFill="1" applyBorder="1"/>
    <xf numFmtId="168" fontId="52" fillId="0" borderId="69" xfId="33" applyNumberFormat="1" applyBorder="1"/>
    <xf numFmtId="168" fontId="79" fillId="0" borderId="67" xfId="33" applyNumberFormat="1" applyFont="1" applyBorder="1"/>
    <xf numFmtId="168" fontId="79" fillId="0" borderId="68" xfId="33" applyNumberFormat="1" applyFont="1" applyBorder="1"/>
    <xf numFmtId="168" fontId="79" fillId="0" borderId="65" xfId="33" applyNumberFormat="1" applyFont="1" applyBorder="1"/>
    <xf numFmtId="0" fontId="79" fillId="15" borderId="65" xfId="33" applyFont="1" applyFill="1" applyBorder="1" applyAlignment="1">
      <alignment horizontal="left" indent="1"/>
    </xf>
    <xf numFmtId="168" fontId="78" fillId="15" borderId="70" xfId="33" applyNumberFormat="1" applyFont="1" applyFill="1" applyBorder="1"/>
    <xf numFmtId="168" fontId="79" fillId="0" borderId="70" xfId="33" applyNumberFormat="1" applyFont="1" applyBorder="1"/>
    <xf numFmtId="0" fontId="79" fillId="8" borderId="65" xfId="33" applyFont="1" applyFill="1" applyBorder="1" applyAlignment="1">
      <alignment horizontal="left" indent="1"/>
    </xf>
    <xf numFmtId="168" fontId="79" fillId="12" borderId="70" xfId="33" applyNumberFormat="1" applyFont="1" applyFill="1" applyBorder="1"/>
    <xf numFmtId="168" fontId="52" fillId="0" borderId="67" xfId="33" applyNumberFormat="1" applyBorder="1"/>
    <xf numFmtId="168" fontId="52" fillId="0" borderId="68" xfId="33" applyNumberFormat="1" applyBorder="1"/>
    <xf numFmtId="168" fontId="52" fillId="0" borderId="70" xfId="33" applyNumberFormat="1" applyBorder="1"/>
    <xf numFmtId="168" fontId="52" fillId="0" borderId="65" xfId="33" applyNumberFormat="1" applyBorder="1"/>
    <xf numFmtId="168" fontId="52" fillId="12" borderId="70" xfId="33" applyNumberFormat="1" applyFill="1" applyBorder="1"/>
    <xf numFmtId="0" fontId="52" fillId="0" borderId="69" xfId="33" applyBorder="1"/>
    <xf numFmtId="0" fontId="79" fillId="15" borderId="67" xfId="33" applyFont="1" applyFill="1" applyBorder="1" applyAlignment="1">
      <alignment horizontal="center" wrapText="1"/>
    </xf>
    <xf numFmtId="0" fontId="79" fillId="15" borderId="68" xfId="33" applyFont="1" applyFill="1" applyBorder="1" applyAlignment="1">
      <alignment horizontal="center" wrapText="1"/>
    </xf>
    <xf numFmtId="0" fontId="79" fillId="15" borderId="65" xfId="33" applyFont="1" applyFill="1" applyBorder="1" applyAlignment="1">
      <alignment horizontal="center" wrapText="1"/>
    </xf>
    <xf numFmtId="0" fontId="52" fillId="0" borderId="71" xfId="33" applyBorder="1"/>
    <xf numFmtId="0" fontId="52" fillId="0" borderId="71" xfId="33" quotePrefix="1" applyBorder="1" applyAlignment="1">
      <alignment horizontal="center"/>
    </xf>
    <xf numFmtId="0" fontId="52" fillId="0" borderId="0" xfId="33" applyAlignment="1">
      <alignment horizontal="center"/>
    </xf>
    <xf numFmtId="0" fontId="33" fillId="0" borderId="0" xfId="0" applyFont="1" applyAlignment="1">
      <alignment horizontal="center" vertical="top"/>
    </xf>
    <xf numFmtId="0" fontId="44" fillId="0" borderId="0" xfId="0" applyFont="1" applyAlignment="1">
      <alignment vertical="top"/>
    </xf>
    <xf numFmtId="0" fontId="45" fillId="0" borderId="0" xfId="0" applyFont="1" applyAlignment="1">
      <alignment vertical="top"/>
    </xf>
    <xf numFmtId="9" fontId="65" fillId="20" borderId="0" xfId="28" applyFont="1" applyFill="1"/>
    <xf numFmtId="9" fontId="65" fillId="20" borderId="61" xfId="28" applyFont="1" applyFill="1" applyBorder="1"/>
    <xf numFmtId="168" fontId="79" fillId="10" borderId="68" xfId="33" applyNumberFormat="1" applyFont="1" applyFill="1" applyBorder="1"/>
    <xf numFmtId="165" fontId="0" fillId="0" borderId="0" xfId="32" applyNumberFormat="1" applyFont="1"/>
    <xf numFmtId="10" fontId="0" fillId="0" borderId="0" xfId="34" applyNumberFormat="1" applyFont="1"/>
    <xf numFmtId="165" fontId="15" fillId="0" borderId="6" xfId="32" applyNumberFormat="1" applyBorder="1"/>
    <xf numFmtId="10" fontId="15" fillId="0" borderId="0" xfId="34" applyNumberFormat="1"/>
    <xf numFmtId="0" fontId="15" fillId="0" borderId="0" xfId="35"/>
    <xf numFmtId="43" fontId="29" fillId="0" borderId="0" xfId="32" applyFont="1"/>
    <xf numFmtId="165" fontId="15" fillId="0" borderId="0" xfId="32" applyNumberFormat="1"/>
    <xf numFmtId="39" fontId="15" fillId="0" borderId="0" xfId="35" applyNumberFormat="1"/>
    <xf numFmtId="43" fontId="33" fillId="16" borderId="14" xfId="32" applyFont="1" applyFill="1" applyBorder="1" applyAlignment="1">
      <alignment horizontal="right" vertical="top" wrapText="1"/>
    </xf>
    <xf numFmtId="10" fontId="33" fillId="16" borderId="14" xfId="34" applyNumberFormat="1" applyFont="1" applyFill="1" applyBorder="1" applyAlignment="1">
      <alignment horizontal="right" vertical="top" wrapText="1"/>
    </xf>
    <xf numFmtId="39" fontId="33" fillId="16" borderId="14" xfId="35" applyNumberFormat="1" applyFont="1" applyFill="1" applyBorder="1" applyAlignment="1">
      <alignment horizontal="right" vertical="top" wrapText="1"/>
    </xf>
    <xf numFmtId="0" fontId="15" fillId="16" borderId="17" xfId="35" applyFill="1" applyBorder="1" applyAlignment="1">
      <alignment horizontal="right" vertical="top" wrapText="1"/>
    </xf>
    <xf numFmtId="39" fontId="33" fillId="16" borderId="17" xfId="35" applyNumberFormat="1" applyFont="1" applyFill="1" applyBorder="1" applyAlignment="1">
      <alignment horizontal="right" vertical="top" wrapText="1"/>
    </xf>
    <xf numFmtId="0" fontId="15" fillId="16" borderId="17" xfId="35" applyFill="1" applyBorder="1" applyAlignment="1">
      <alignment horizontal="left" vertical="top" wrapText="1"/>
    </xf>
    <xf numFmtId="0" fontId="33" fillId="16" borderId="17" xfId="35" applyFont="1" applyFill="1" applyBorder="1" applyAlignment="1">
      <alignment horizontal="left" vertical="top" wrapText="1"/>
    </xf>
    <xf numFmtId="0" fontId="30" fillId="15" borderId="17" xfId="35" applyFont="1" applyFill="1" applyBorder="1" applyAlignment="1">
      <alignment horizontal="left" vertical="top" wrapText="1"/>
    </xf>
    <xf numFmtId="43" fontId="30" fillId="15" borderId="14" xfId="32" applyFont="1" applyFill="1" applyBorder="1" applyAlignment="1">
      <alignment horizontal="right" vertical="top" wrapText="1"/>
    </xf>
    <xf numFmtId="10" fontId="30" fillId="15" borderId="14" xfId="34" applyNumberFormat="1" applyFont="1" applyFill="1" applyBorder="1" applyAlignment="1">
      <alignment horizontal="right" vertical="top" wrapText="1"/>
    </xf>
    <xf numFmtId="39" fontId="30" fillId="15" borderId="14" xfId="35" applyNumberFormat="1" applyFont="1" applyFill="1" applyBorder="1" applyAlignment="1">
      <alignment horizontal="right" vertical="top" wrapText="1"/>
    </xf>
    <xf numFmtId="0" fontId="15" fillId="15" borderId="17" xfId="35" applyFill="1" applyBorder="1" applyAlignment="1">
      <alignment horizontal="right" vertical="top" wrapText="1"/>
    </xf>
    <xf numFmtId="39" fontId="30" fillId="15" borderId="17" xfId="35" applyNumberFormat="1" applyFont="1" applyFill="1" applyBorder="1" applyAlignment="1">
      <alignment horizontal="right" vertical="top" wrapText="1"/>
    </xf>
    <xf numFmtId="0" fontId="29" fillId="0" borderId="0" xfId="1" applyFont="1" applyAlignment="1">
      <alignment horizontal="left" vertical="center"/>
    </xf>
    <xf numFmtId="43" fontId="30" fillId="16" borderId="16" xfId="32" applyFont="1" applyFill="1" applyBorder="1" applyAlignment="1">
      <alignment horizontal="left" vertical="top" wrapText="1"/>
    </xf>
    <xf numFmtId="10" fontId="30" fillId="16" borderId="16" xfId="34" applyNumberFormat="1" applyFont="1" applyFill="1" applyBorder="1" applyAlignment="1">
      <alignment horizontal="left" vertical="top" wrapText="1"/>
    </xf>
    <xf numFmtId="0" fontId="30" fillId="16" borderId="16" xfId="35" applyFont="1" applyFill="1" applyBorder="1" applyAlignment="1">
      <alignment horizontal="left" vertical="top" wrapText="1"/>
    </xf>
    <xf numFmtId="0" fontId="30" fillId="16" borderId="15" xfId="35" applyFont="1" applyFill="1" applyBorder="1" applyAlignment="1">
      <alignment horizontal="left" vertical="top" wrapText="1"/>
    </xf>
    <xf numFmtId="43" fontId="15" fillId="0" borderId="0" xfId="32"/>
    <xf numFmtId="0" fontId="15" fillId="0" borderId="0" xfId="35" applyAlignment="1">
      <alignment horizontal="center" vertical="top" wrapText="1"/>
    </xf>
    <xf numFmtId="0" fontId="15" fillId="0" borderId="0" xfId="35" applyAlignment="1">
      <alignment horizontal="left" vertical="top"/>
    </xf>
    <xf numFmtId="0" fontId="33" fillId="0" borderId="0" xfId="35" applyFont="1" applyAlignment="1">
      <alignment horizontal="center" vertical="top"/>
    </xf>
    <xf numFmtId="0" fontId="15" fillId="0" borderId="0" xfId="35" applyAlignment="1">
      <alignment horizontal="center" vertical="top"/>
    </xf>
    <xf numFmtId="0" fontId="45" fillId="0" borderId="0" xfId="35" applyFont="1" applyAlignment="1">
      <alignment vertical="top"/>
    </xf>
    <xf numFmtId="0" fontId="44" fillId="0" borderId="0" xfId="35" applyFont="1" applyAlignment="1">
      <alignment vertical="top"/>
    </xf>
    <xf numFmtId="165" fontId="33" fillId="16" borderId="14" xfId="32" applyNumberFormat="1" applyFont="1" applyFill="1" applyBorder="1" applyAlignment="1">
      <alignment horizontal="right" vertical="top" wrapText="1"/>
    </xf>
    <xf numFmtId="39" fontId="33" fillId="16" borderId="14" xfId="1" applyNumberFormat="1" applyFont="1" applyFill="1" applyBorder="1" applyAlignment="1">
      <alignment horizontal="right" vertical="top" wrapText="1"/>
    </xf>
    <xf numFmtId="0" fontId="15" fillId="16" borderId="17" xfId="1" applyFill="1" applyBorder="1" applyAlignment="1">
      <alignment horizontal="right" vertical="top" wrapText="1"/>
    </xf>
    <xf numFmtId="165" fontId="30" fillId="15" borderId="14" xfId="32" applyNumberFormat="1" applyFont="1" applyFill="1" applyBorder="1" applyAlignment="1">
      <alignment horizontal="right" vertical="top" wrapText="1"/>
    </xf>
    <xf numFmtId="39" fontId="30" fillId="15" borderId="14" xfId="1" applyNumberFormat="1" applyFont="1" applyFill="1" applyBorder="1" applyAlignment="1">
      <alignment horizontal="right" vertical="top" wrapText="1"/>
    </xf>
    <xf numFmtId="0" fontId="15" fillId="15" borderId="17" xfId="1" applyFill="1" applyBorder="1" applyAlignment="1">
      <alignment horizontal="right" vertical="top" wrapText="1"/>
    </xf>
    <xf numFmtId="43" fontId="29" fillId="0" borderId="0" xfId="1" applyNumberFormat="1" applyFont="1"/>
    <xf numFmtId="165" fontId="30" fillId="16" borderId="16" xfId="32" applyNumberFormat="1" applyFont="1" applyFill="1" applyBorder="1" applyAlignment="1">
      <alignment horizontal="left" vertical="top" wrapText="1"/>
    </xf>
    <xf numFmtId="0" fontId="15" fillId="0" borderId="0" xfId="1" applyAlignment="1">
      <alignment horizontal="left" vertical="top" wrapText="1"/>
    </xf>
    <xf numFmtId="0" fontId="33" fillId="0" borderId="0" xfId="1" applyFont="1" applyAlignment="1">
      <alignment horizontal="center" vertical="top" wrapText="1"/>
    </xf>
    <xf numFmtId="10" fontId="4" fillId="0" borderId="0" xfId="36" applyNumberFormat="1" applyFont="1"/>
    <xf numFmtId="49" fontId="4" fillId="0" borderId="0" xfId="37" applyNumberFormat="1"/>
    <xf numFmtId="0" fontId="4" fillId="0" borderId="0" xfId="37"/>
    <xf numFmtId="10" fontId="63" fillId="0" borderId="0" xfId="36" applyNumberFormat="1" applyFont="1" applyFill="1" applyBorder="1"/>
    <xf numFmtId="10" fontId="47" fillId="0" borderId="4" xfId="36" applyNumberFormat="1" applyFont="1" applyBorder="1"/>
    <xf numFmtId="49" fontId="47" fillId="0" borderId="4" xfId="37" applyNumberFormat="1" applyFont="1" applyBorder="1"/>
    <xf numFmtId="0" fontId="47" fillId="0" borderId="4" xfId="37" applyFont="1" applyBorder="1"/>
    <xf numFmtId="0" fontId="67" fillId="12" borderId="0" xfId="24" applyFont="1" applyFill="1" applyAlignment="1">
      <alignment horizontal="left"/>
    </xf>
    <xf numFmtId="164" fontId="30" fillId="19" borderId="0" xfId="0" applyNumberFormat="1" applyFont="1" applyFill="1"/>
    <xf numFmtId="165" fontId="32" fillId="2" borderId="9" xfId="16" applyNumberFormat="1" applyFont="1" applyFill="1" applyBorder="1" applyAlignment="1">
      <alignment horizontal="center" wrapText="1"/>
    </xf>
    <xf numFmtId="165" fontId="35" fillId="9" borderId="8" xfId="16" applyNumberFormat="1" applyFont="1" applyFill="1" applyBorder="1" applyAlignment="1">
      <alignment horizontal="center" wrapText="1"/>
    </xf>
    <xf numFmtId="165" fontId="36" fillId="13" borderId="63" xfId="16" applyNumberFormat="1" applyFont="1" applyFill="1" applyBorder="1" applyAlignment="1">
      <alignment horizontal="center" wrapText="1"/>
    </xf>
    <xf numFmtId="165" fontId="37" fillId="11" borderId="9" xfId="16" applyNumberFormat="1" applyFont="1" applyFill="1" applyBorder="1" applyAlignment="1">
      <alignment horizontal="center" wrapText="1"/>
    </xf>
    <xf numFmtId="0" fontId="31" fillId="11" borderId="7" xfId="0" applyFont="1" applyFill="1" applyBorder="1" applyAlignment="1">
      <alignment horizontal="center" wrapText="1"/>
    </xf>
    <xf numFmtId="1" fontId="27" fillId="8" borderId="2" xfId="1" applyNumberFormat="1" applyFont="1" applyFill="1" applyBorder="1"/>
    <xf numFmtId="1" fontId="27" fillId="8" borderId="72" xfId="1" applyNumberFormat="1" applyFont="1" applyFill="1" applyBorder="1"/>
    <xf numFmtId="1" fontId="27" fillId="8" borderId="73" xfId="1" applyNumberFormat="1" applyFont="1" applyFill="1" applyBorder="1"/>
    <xf numFmtId="1" fontId="32" fillId="7" borderId="74" xfId="0" applyNumberFormat="1" applyFont="1" applyFill="1" applyBorder="1"/>
    <xf numFmtId="1" fontId="32" fillId="7" borderId="0" xfId="0" applyNumberFormat="1" applyFont="1" applyFill="1"/>
    <xf numFmtId="1" fontId="32" fillId="7" borderId="11" xfId="0" applyNumberFormat="1" applyFont="1" applyFill="1" applyBorder="1"/>
    <xf numFmtId="1" fontId="34" fillId="7" borderId="3" xfId="0" applyNumberFormat="1" applyFont="1" applyFill="1" applyBorder="1" applyAlignment="1">
      <alignment wrapText="1"/>
    </xf>
    <xf numFmtId="1" fontId="34" fillId="7" borderId="4" xfId="0" applyNumberFormat="1" applyFont="1" applyFill="1" applyBorder="1" applyAlignment="1">
      <alignment wrapText="1"/>
    </xf>
    <xf numFmtId="1" fontId="34" fillId="7" borderId="5" xfId="0" applyNumberFormat="1" applyFont="1" applyFill="1" applyBorder="1" applyAlignment="1">
      <alignment wrapText="1"/>
    </xf>
    <xf numFmtId="0" fontId="26" fillId="3" borderId="2" xfId="0" applyFont="1" applyFill="1" applyBorder="1"/>
    <xf numFmtId="1" fontId="27" fillId="3" borderId="73" xfId="1" applyNumberFormat="1" applyFont="1" applyFill="1" applyBorder="1"/>
    <xf numFmtId="0" fontId="32" fillId="2" borderId="74" xfId="0" applyFont="1" applyFill="1" applyBorder="1"/>
    <xf numFmtId="1" fontId="32" fillId="2" borderId="11" xfId="0" applyNumberFormat="1" applyFont="1" applyFill="1" applyBorder="1"/>
    <xf numFmtId="0" fontId="32" fillId="2" borderId="3" xfId="0" applyFont="1" applyFill="1" applyBorder="1" applyAlignment="1">
      <alignment wrapText="1"/>
    </xf>
    <xf numFmtId="1" fontId="32" fillId="2" borderId="5" xfId="0" applyNumberFormat="1" applyFont="1" applyFill="1" applyBorder="1" applyAlignment="1">
      <alignment wrapText="1"/>
    </xf>
    <xf numFmtId="0" fontId="32" fillId="2" borderId="8" xfId="0" applyFont="1" applyFill="1" applyBorder="1" applyAlignment="1">
      <alignment wrapText="1"/>
    </xf>
    <xf numFmtId="0" fontId="32" fillId="2" borderId="63" xfId="0" applyFont="1" applyFill="1" applyBorder="1" applyAlignment="1">
      <alignment wrapText="1"/>
    </xf>
    <xf numFmtId="0" fontId="32" fillId="2" borderId="9" xfId="0" applyFont="1" applyFill="1" applyBorder="1" applyAlignment="1">
      <alignment wrapText="1"/>
    </xf>
    <xf numFmtId="0" fontId="30" fillId="22" borderId="0" xfId="0" applyFont="1" applyFill="1"/>
    <xf numFmtId="164" fontId="30" fillId="22" borderId="0" xfId="0" applyNumberFormat="1" applyFont="1" applyFill="1"/>
    <xf numFmtId="0" fontId="49" fillId="0" borderId="0" xfId="0" applyFont="1" applyAlignment="1">
      <alignment horizontal="right"/>
    </xf>
    <xf numFmtId="0" fontId="30" fillId="9" borderId="0" xfId="0" applyFont="1" applyFill="1"/>
    <xf numFmtId="0" fontId="30" fillId="5" borderId="0" xfId="0" applyFont="1" applyFill="1"/>
    <xf numFmtId="165" fontId="30" fillId="5" borderId="0" xfId="0" applyNumberFormat="1" applyFont="1" applyFill="1"/>
    <xf numFmtId="0" fontId="29" fillId="0" borderId="0" xfId="0" applyFont="1"/>
    <xf numFmtId="165" fontId="29" fillId="0" borderId="0" xfId="0" applyNumberFormat="1" applyFont="1"/>
    <xf numFmtId="0" fontId="80" fillId="0" borderId="0" xfId="0" applyFont="1" applyAlignment="1">
      <alignment horizontal="centerContinuous" vertical="center"/>
    </xf>
    <xf numFmtId="0" fontId="66" fillId="0" borderId="0" xfId="0" applyFont="1" applyAlignment="1">
      <alignment horizontal="centerContinuous" vertical="center"/>
    </xf>
    <xf numFmtId="0" fontId="20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0" fontId="82" fillId="0" borderId="7" xfId="0" applyFont="1" applyBorder="1" applyAlignment="1">
      <alignment vertical="center"/>
    </xf>
    <xf numFmtId="0" fontId="20" fillId="0" borderId="7" xfId="0" applyFont="1" applyBorder="1" applyAlignment="1">
      <alignment horizontal="left" vertical="center"/>
    </xf>
    <xf numFmtId="0" fontId="20" fillId="0" borderId="7" xfId="0" applyFont="1" applyBorder="1" applyAlignment="1">
      <alignment vertical="center"/>
    </xf>
    <xf numFmtId="0" fontId="83" fillId="0" borderId="0" xfId="0" applyFont="1" applyAlignment="1">
      <alignment vertical="center"/>
    </xf>
    <xf numFmtId="169" fontId="20" fillId="0" borderId="7" xfId="0" applyNumberFormat="1" applyFont="1" applyBorder="1" applyAlignment="1">
      <alignment horizontal="left" vertical="center"/>
    </xf>
    <xf numFmtId="0" fontId="82" fillId="0" borderId="75" xfId="0" applyFont="1" applyBorder="1" applyAlignment="1">
      <alignment horizontal="center" vertical="center"/>
    </xf>
    <xf numFmtId="0" fontId="20" fillId="0" borderId="75" xfId="0" applyFont="1" applyBorder="1" applyAlignment="1">
      <alignment vertical="center"/>
    </xf>
    <xf numFmtId="0" fontId="82" fillId="0" borderId="10" xfId="0" applyFont="1" applyBorder="1" applyAlignment="1">
      <alignment horizontal="center" vertical="center"/>
    </xf>
    <xf numFmtId="0" fontId="82" fillId="0" borderId="5" xfId="0" applyFont="1" applyBorder="1" applyAlignment="1">
      <alignment horizontal="centerContinuous" vertical="center"/>
    </xf>
    <xf numFmtId="0" fontId="82" fillId="0" borderId="5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5" fontId="82" fillId="0" borderId="6" xfId="0" applyNumberFormat="1" applyFont="1" applyBorder="1" applyAlignment="1">
      <alignment horizontal="right" vertical="center"/>
    </xf>
    <xf numFmtId="0" fontId="20" fillId="0" borderId="76" xfId="0" applyFont="1" applyBorder="1" applyAlignment="1">
      <alignment vertical="center"/>
    </xf>
    <xf numFmtId="0" fontId="84" fillId="0" borderId="0" xfId="0" applyFont="1" applyAlignment="1">
      <alignment vertical="center"/>
    </xf>
    <xf numFmtId="0" fontId="85" fillId="0" borderId="0" xfId="5" applyFont="1"/>
    <xf numFmtId="0" fontId="82" fillId="14" borderId="10" xfId="10" quotePrefix="1" applyFont="1" applyFill="1" applyBorder="1" applyAlignment="1">
      <alignment horizontal="center" vertical="center"/>
    </xf>
    <xf numFmtId="0" fontId="82" fillId="14" borderId="4" xfId="10" applyFont="1" applyFill="1" applyBorder="1" applyAlignment="1">
      <alignment horizontal="left" vertical="center"/>
    </xf>
    <xf numFmtId="165" fontId="82" fillId="14" borderId="10" xfId="16" applyNumberFormat="1" applyFont="1" applyFill="1" applyBorder="1" applyAlignment="1">
      <alignment horizontal="right" vertical="center"/>
    </xf>
    <xf numFmtId="165" fontId="82" fillId="14" borderId="5" xfId="16" applyNumberFormat="1" applyFont="1" applyFill="1" applyBorder="1" applyAlignment="1">
      <alignment horizontal="right" vertical="center"/>
    </xf>
    <xf numFmtId="1" fontId="82" fillId="0" borderId="10" xfId="10" quotePrefix="1" applyNumberFormat="1" applyFont="1" applyBorder="1" applyAlignment="1">
      <alignment horizontal="center" vertical="center"/>
    </xf>
    <xf numFmtId="0" fontId="20" fillId="0" borderId="4" xfId="10" applyFont="1" applyBorder="1" applyAlignment="1">
      <alignment horizontal="left" vertical="center"/>
    </xf>
    <xf numFmtId="165" fontId="20" fillId="0" borderId="10" xfId="16" applyNumberFormat="1" applyFont="1" applyBorder="1" applyAlignment="1">
      <alignment horizontal="right" vertical="center"/>
    </xf>
    <xf numFmtId="165" fontId="20" fillId="0" borderId="5" xfId="16" applyNumberFormat="1" applyFont="1" applyBorder="1" applyAlignment="1">
      <alignment horizontal="right" vertical="center"/>
    </xf>
    <xf numFmtId="0" fontId="20" fillId="0" borderId="1" xfId="10" applyFont="1" applyBorder="1" applyAlignment="1">
      <alignment horizontal="left" vertical="center"/>
    </xf>
    <xf numFmtId="1" fontId="82" fillId="0" borderId="10" xfId="10" applyNumberFormat="1" applyFont="1" applyBorder="1" applyAlignment="1">
      <alignment horizontal="center" vertical="center"/>
    </xf>
    <xf numFmtId="0" fontId="82" fillId="0" borderId="7" xfId="10" quotePrefix="1" applyFont="1" applyBorder="1" applyAlignment="1">
      <alignment horizontal="center" vertical="center"/>
    </xf>
    <xf numFmtId="0" fontId="20" fillId="0" borderId="7" xfId="10" applyFont="1" applyBorder="1" applyAlignment="1">
      <alignment horizontal="left" vertical="center"/>
    </xf>
    <xf numFmtId="165" fontId="20" fillId="0" borderId="7" xfId="16" applyNumberFormat="1" applyFont="1" applyBorder="1" applyAlignment="1">
      <alignment horizontal="right" vertical="center"/>
    </xf>
    <xf numFmtId="0" fontId="20" fillId="0" borderId="7" xfId="10" applyFont="1" applyBorder="1" applyAlignment="1">
      <alignment horizontal="center" vertical="center"/>
    </xf>
    <xf numFmtId="0" fontId="20" fillId="0" borderId="0" xfId="10" applyFont="1" applyAlignment="1">
      <alignment vertical="center"/>
    </xf>
    <xf numFmtId="165" fontId="82" fillId="0" borderId="10" xfId="16" applyNumberFormat="1" applyFont="1" applyBorder="1" applyAlignment="1">
      <alignment horizontal="right" vertical="center"/>
    </xf>
    <xf numFmtId="4" fontId="20" fillId="0" borderId="0" xfId="5" applyNumberFormat="1" applyAlignment="1">
      <alignment horizontal="right"/>
    </xf>
    <xf numFmtId="0" fontId="20" fillId="0" borderId="0" xfId="5" applyAlignment="1">
      <alignment horizontal="right"/>
    </xf>
    <xf numFmtId="165" fontId="33" fillId="0" borderId="63" xfId="16" applyNumberFormat="1" applyFont="1" applyBorder="1"/>
    <xf numFmtId="165" fontId="33" fillId="5" borderId="9" xfId="16" applyNumberFormat="1" applyFont="1" applyFill="1" applyBorder="1" applyAlignment="1">
      <alignment horizontal="center" wrapText="1"/>
    </xf>
    <xf numFmtId="0" fontId="15" fillId="0" borderId="0" xfId="38"/>
    <xf numFmtId="0" fontId="20" fillId="0" borderId="0" xfId="38" applyFont="1" applyAlignment="1">
      <alignment vertical="center"/>
    </xf>
    <xf numFmtId="0" fontId="81" fillId="0" borderId="0" xfId="38" applyFont="1" applyAlignment="1">
      <alignment vertical="center"/>
    </xf>
    <xf numFmtId="0" fontId="82" fillId="0" borderId="7" xfId="38" applyFont="1" applyBorder="1" applyAlignment="1">
      <alignment vertical="center"/>
    </xf>
    <xf numFmtId="0" fontId="20" fillId="0" borderId="7" xfId="38" applyFont="1" applyBorder="1" applyAlignment="1">
      <alignment horizontal="left" vertical="center"/>
    </xf>
    <xf numFmtId="0" fontId="20" fillId="0" borderId="7" xfId="38" applyFont="1" applyBorder="1" applyAlignment="1">
      <alignment vertical="center"/>
    </xf>
    <xf numFmtId="0" fontId="83" fillId="0" borderId="0" xfId="38" applyFont="1" applyAlignment="1">
      <alignment vertical="center"/>
    </xf>
    <xf numFmtId="169" fontId="20" fillId="0" borderId="7" xfId="38" applyNumberFormat="1" applyFont="1" applyBorder="1" applyAlignment="1">
      <alignment horizontal="left" vertical="center"/>
    </xf>
    <xf numFmtId="0" fontId="82" fillId="0" borderId="75" xfId="38" applyFont="1" applyBorder="1" applyAlignment="1">
      <alignment horizontal="center" vertical="center"/>
    </xf>
    <xf numFmtId="0" fontId="20" fillId="0" borderId="76" xfId="38" applyFont="1" applyBorder="1" applyAlignment="1">
      <alignment vertical="center"/>
    </xf>
    <xf numFmtId="0" fontId="20" fillId="0" borderId="75" xfId="38" applyFont="1" applyBorder="1" applyAlignment="1">
      <alignment vertical="center"/>
    </xf>
    <xf numFmtId="0" fontId="82" fillId="0" borderId="10" xfId="38" applyFont="1" applyBorder="1" applyAlignment="1">
      <alignment horizontal="center" vertical="center"/>
    </xf>
    <xf numFmtId="0" fontId="82" fillId="0" borderId="5" xfId="38" applyFont="1" applyBorder="1" applyAlignment="1">
      <alignment horizontal="center" vertical="center"/>
    </xf>
    <xf numFmtId="0" fontId="82" fillId="0" borderId="10" xfId="12" applyFont="1" applyBorder="1" applyAlignment="1">
      <alignment horizontal="center" vertical="center"/>
    </xf>
    <xf numFmtId="0" fontId="82" fillId="0" borderId="5" xfId="12" applyFont="1" applyBorder="1" applyAlignment="1">
      <alignment vertical="center"/>
    </xf>
    <xf numFmtId="5" fontId="20" fillId="0" borderId="7" xfId="38" applyNumberFormat="1" applyFont="1" applyBorder="1" applyAlignment="1">
      <alignment horizontal="right" vertical="center"/>
    </xf>
    <xf numFmtId="0" fontId="20" fillId="0" borderId="10" xfId="38" applyFont="1" applyBorder="1" applyAlignment="1">
      <alignment horizontal="center" vertical="center"/>
    </xf>
    <xf numFmtId="37" fontId="20" fillId="0" borderId="7" xfId="38" applyNumberFormat="1" applyFont="1" applyBorder="1" applyAlignment="1" applyProtection="1">
      <alignment horizontal="left" vertical="center"/>
      <protection locked="0"/>
    </xf>
    <xf numFmtId="0" fontId="20" fillId="0" borderId="7" xfId="38" applyFont="1" applyBorder="1" applyAlignment="1">
      <alignment horizontal="center" vertical="center"/>
    </xf>
    <xf numFmtId="0" fontId="20" fillId="0" borderId="5" xfId="38" applyFont="1" applyBorder="1" applyAlignment="1">
      <alignment horizontal="right" vertical="center"/>
    </xf>
    <xf numFmtId="0" fontId="20" fillId="0" borderId="0" xfId="38" applyFont="1" applyAlignment="1">
      <alignment horizontal="right" vertical="center"/>
    </xf>
    <xf numFmtId="0" fontId="82" fillId="0" borderId="0" xfId="38" applyFont="1" applyAlignment="1">
      <alignment horizontal="center" vertical="center"/>
    </xf>
    <xf numFmtId="5" fontId="82" fillId="0" borderId="10" xfId="38" applyNumberFormat="1" applyFont="1" applyBorder="1" applyAlignment="1">
      <alignment horizontal="right" vertical="center"/>
    </xf>
    <xf numFmtId="5" fontId="82" fillId="0" borderId="6" xfId="38" applyNumberFormat="1" applyFont="1" applyBorder="1" applyAlignment="1">
      <alignment horizontal="right" vertical="center"/>
    </xf>
    <xf numFmtId="0" fontId="62" fillId="0" borderId="0" xfId="38" applyFont="1"/>
    <xf numFmtId="5" fontId="15" fillId="0" borderId="0" xfId="38" applyNumberFormat="1"/>
    <xf numFmtId="0" fontId="84" fillId="0" borderId="0" xfId="38" applyFont="1" applyAlignment="1">
      <alignment vertical="center"/>
    </xf>
    <xf numFmtId="5" fontId="15" fillId="0" borderId="77" xfId="38" applyNumberFormat="1" applyBorder="1"/>
    <xf numFmtId="37" fontId="20" fillId="0" borderId="7" xfId="0" applyNumberFormat="1" applyFont="1" applyBorder="1" applyAlignment="1" applyProtection="1">
      <alignment horizontal="left" vertical="center"/>
      <protection locked="0"/>
    </xf>
    <xf numFmtId="5" fontId="20" fillId="0" borderId="7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20" fillId="0" borderId="7" xfId="0" quotePrefix="1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5" fontId="82" fillId="0" borderId="10" xfId="0" applyNumberFormat="1" applyFont="1" applyBorder="1" applyAlignment="1">
      <alignment horizontal="right" vertical="center"/>
    </xf>
    <xf numFmtId="0" fontId="62" fillId="0" borderId="0" xfId="0" applyFont="1"/>
    <xf numFmtId="5" fontId="0" fillId="0" borderId="0" xfId="0" applyNumberFormat="1"/>
    <xf numFmtId="0" fontId="49" fillId="0" borderId="0" xfId="38" applyFont="1" applyAlignment="1">
      <alignment horizontal="center"/>
    </xf>
    <xf numFmtId="165" fontId="30" fillId="11" borderId="78" xfId="16" applyNumberFormat="1" applyFont="1" applyFill="1" applyBorder="1"/>
    <xf numFmtId="165" fontId="32" fillId="2" borderId="8" xfId="16" applyNumberFormat="1" applyFont="1" applyFill="1" applyBorder="1" applyAlignment="1">
      <alignment horizontal="center" wrapText="1"/>
    </xf>
    <xf numFmtId="0" fontId="20" fillId="0" borderId="79" xfId="0" applyFont="1" applyBorder="1" applyAlignment="1">
      <alignment vertical="center"/>
    </xf>
    <xf numFmtId="0" fontId="20" fillId="0" borderId="7" xfId="0" applyFont="1" applyBorder="1" applyAlignment="1">
      <alignment horizontal="right" vertical="center"/>
    </xf>
    <xf numFmtId="0" fontId="20" fillId="0" borderId="7" xfId="0" applyFont="1" applyBorder="1" applyAlignment="1">
      <alignment horizontal="left" vertical="center" wrapText="1"/>
    </xf>
    <xf numFmtId="0" fontId="0" fillId="15" borderId="17" xfId="0" applyFill="1" applyBorder="1" applyAlignment="1">
      <alignment horizontal="right" vertical="top"/>
    </xf>
    <xf numFmtId="43" fontId="15" fillId="0" borderId="48" xfId="16" applyFont="1" applyBorder="1"/>
    <xf numFmtId="0" fontId="51" fillId="0" borderId="12" xfId="1" applyFont="1" applyBorder="1"/>
    <xf numFmtId="43" fontId="51" fillId="0" borderId="78" xfId="16" applyFont="1" applyBorder="1"/>
    <xf numFmtId="43" fontId="15" fillId="0" borderId="12" xfId="16" applyFont="1" applyBorder="1"/>
    <xf numFmtId="168" fontId="52" fillId="5" borderId="0" xfId="33" applyNumberFormat="1" applyFill="1"/>
    <xf numFmtId="168" fontId="78" fillId="0" borderId="0" xfId="33" applyNumberFormat="1" applyFont="1"/>
    <xf numFmtId="168" fontId="78" fillId="15" borderId="81" xfId="33" applyNumberFormat="1" applyFont="1" applyFill="1" applyBorder="1"/>
    <xf numFmtId="168" fontId="52" fillId="12" borderId="31" xfId="33" applyNumberFormat="1" applyFill="1" applyBorder="1"/>
    <xf numFmtId="168" fontId="79" fillId="5" borderId="69" xfId="33" applyNumberFormat="1" applyFont="1" applyFill="1" applyBorder="1"/>
    <xf numFmtId="168" fontId="79" fillId="0" borderId="0" xfId="33" applyNumberFormat="1" applyFont="1"/>
    <xf numFmtId="168" fontId="79" fillId="8" borderId="69" xfId="33" applyNumberFormat="1" applyFont="1" applyFill="1" applyBorder="1"/>
    <xf numFmtId="168" fontId="79" fillId="8" borderId="67" xfId="33" applyNumberFormat="1" applyFont="1" applyFill="1" applyBorder="1"/>
    <xf numFmtId="168" fontId="79" fillId="8" borderId="68" xfId="33" applyNumberFormat="1" applyFont="1" applyFill="1" applyBorder="1"/>
    <xf numFmtId="168" fontId="79" fillId="8" borderId="70" xfId="33" applyNumberFormat="1" applyFont="1" applyFill="1" applyBorder="1"/>
    <xf numFmtId="168" fontId="79" fillId="8" borderId="65" xfId="33" applyNumberFormat="1" applyFont="1" applyFill="1" applyBorder="1"/>
    <xf numFmtId="168" fontId="52" fillId="0" borderId="0" xfId="33" applyNumberFormat="1"/>
    <xf numFmtId="0" fontId="79" fillId="15" borderId="82" xfId="33" applyFont="1" applyFill="1" applyBorder="1" applyAlignment="1">
      <alignment horizontal="center" wrapText="1"/>
    </xf>
    <xf numFmtId="0" fontId="79" fillId="0" borderId="0" xfId="33" applyFont="1" applyAlignment="1">
      <alignment horizontal="center" wrapText="1"/>
    </xf>
    <xf numFmtId="0" fontId="52" fillId="11" borderId="0" xfId="33" applyFill="1"/>
    <xf numFmtId="165" fontId="0" fillId="0" borderId="0" xfId="0" applyNumberFormat="1"/>
    <xf numFmtId="165" fontId="15" fillId="0" borderId="0" xfId="16" applyNumberFormat="1" applyFont="1"/>
    <xf numFmtId="165" fontId="72" fillId="0" borderId="0" xfId="16" applyNumberFormat="1" applyFont="1"/>
    <xf numFmtId="165" fontId="50" fillId="0" borderId="0" xfId="16" applyNumberFormat="1" applyFont="1"/>
    <xf numFmtId="0" fontId="90" fillId="16" borderId="15" xfId="0" applyFont="1" applyFill="1" applyBorder="1" applyAlignment="1">
      <alignment horizontal="left" vertical="top" wrapText="1"/>
    </xf>
    <xf numFmtId="0" fontId="90" fillId="16" borderId="16" xfId="0" applyFont="1" applyFill="1" applyBorder="1" applyAlignment="1">
      <alignment horizontal="left" vertical="top" wrapText="1"/>
    </xf>
    <xf numFmtId="0" fontId="90" fillId="15" borderId="17" xfId="0" applyFont="1" applyFill="1" applyBorder="1" applyAlignment="1">
      <alignment horizontal="left" vertical="top"/>
    </xf>
    <xf numFmtId="39" fontId="90" fillId="15" borderId="17" xfId="0" applyNumberFormat="1" applyFont="1" applyFill="1" applyBorder="1" applyAlignment="1">
      <alignment horizontal="right" vertical="top"/>
    </xf>
    <xf numFmtId="39" fontId="90" fillId="15" borderId="14" xfId="0" applyNumberFormat="1" applyFont="1" applyFill="1" applyBorder="1" applyAlignment="1">
      <alignment horizontal="right" vertical="top"/>
    </xf>
    <xf numFmtId="39" fontId="91" fillId="16" borderId="17" xfId="0" applyNumberFormat="1" applyFont="1" applyFill="1" applyBorder="1" applyAlignment="1">
      <alignment horizontal="right" vertical="top"/>
    </xf>
    <xf numFmtId="39" fontId="91" fillId="16" borderId="14" xfId="0" applyNumberFormat="1" applyFont="1" applyFill="1" applyBorder="1" applyAlignment="1">
      <alignment horizontal="right" vertical="top"/>
    </xf>
    <xf numFmtId="0" fontId="92" fillId="0" borderId="0" xfId="0" applyFont="1" applyAlignment="1">
      <alignment vertical="top"/>
    </xf>
    <xf numFmtId="0" fontId="90" fillId="15" borderId="15" xfId="0" applyFont="1" applyFill="1" applyBorder="1" applyAlignment="1">
      <alignment vertical="top"/>
    </xf>
    <xf numFmtId="0" fontId="90" fillId="15" borderId="80" xfId="0" applyFont="1" applyFill="1" applyBorder="1" applyAlignment="1">
      <alignment vertical="top"/>
    </xf>
    <xf numFmtId="0" fontId="90" fillId="15" borderId="62" xfId="0" applyFont="1" applyFill="1" applyBorder="1" applyAlignment="1">
      <alignment vertical="top"/>
    </xf>
    <xf numFmtId="0" fontId="88" fillId="0" borderId="0" xfId="0" applyFont="1" applyAlignment="1">
      <alignment vertical="top"/>
    </xf>
    <xf numFmtId="0" fontId="89" fillId="0" borderId="0" xfId="0" applyFont="1" applyAlignment="1">
      <alignment vertical="top"/>
    </xf>
    <xf numFmtId="0" fontId="30" fillId="23" borderId="0" xfId="0" applyFont="1" applyFill="1"/>
    <xf numFmtId="165" fontId="30" fillId="23" borderId="0" xfId="16" applyNumberFormat="1" applyFont="1" applyFill="1"/>
    <xf numFmtId="0" fontId="0" fillId="0" borderId="0" xfId="0" applyAlignment="1">
      <alignment horizontal="center"/>
    </xf>
    <xf numFmtId="0" fontId="0" fillId="0" borderId="71" xfId="0" applyBorder="1"/>
    <xf numFmtId="0" fontId="0" fillId="0" borderId="71" xfId="0" quotePrefix="1" applyBorder="1" applyAlignment="1">
      <alignment horizontal="center"/>
    </xf>
    <xf numFmtId="0" fontId="93" fillId="15" borderId="65" xfId="0" applyFont="1" applyFill="1" applyBorder="1" applyAlignment="1">
      <alignment horizontal="center" wrapText="1"/>
    </xf>
    <xf numFmtId="0" fontId="93" fillId="15" borderId="65" xfId="0" applyFont="1" applyFill="1" applyBorder="1"/>
    <xf numFmtId="168" fontId="94" fillId="15" borderId="65" xfId="0" applyNumberFormat="1" applyFont="1" applyFill="1" applyBorder="1"/>
    <xf numFmtId="0" fontId="0" fillId="15" borderId="65" xfId="0" applyFill="1" applyBorder="1"/>
    <xf numFmtId="168" fontId="0" fillId="0" borderId="65" xfId="0" applyNumberFormat="1" applyBorder="1"/>
    <xf numFmtId="0" fontId="93" fillId="15" borderId="65" xfId="0" applyFont="1" applyFill="1" applyBorder="1" applyAlignment="1">
      <alignment horizontal="left" indent="1"/>
    </xf>
    <xf numFmtId="168" fontId="93" fillId="0" borderId="65" xfId="0" applyNumberFormat="1" applyFont="1" applyBorder="1"/>
    <xf numFmtId="0" fontId="93" fillId="8" borderId="65" xfId="0" applyFont="1" applyFill="1" applyBorder="1" applyAlignment="1">
      <alignment horizontal="left" indent="1"/>
    </xf>
    <xf numFmtId="168" fontId="93" fillId="8" borderId="65" xfId="0" applyNumberFormat="1" applyFont="1" applyFill="1" applyBorder="1"/>
    <xf numFmtId="0" fontId="93" fillId="15" borderId="67" xfId="0" applyFont="1" applyFill="1" applyBorder="1" applyAlignment="1">
      <alignment horizontal="center" wrapText="1"/>
    </xf>
    <xf numFmtId="168" fontId="94" fillId="15" borderId="67" xfId="0" applyNumberFormat="1" applyFont="1" applyFill="1" applyBorder="1"/>
    <xf numFmtId="168" fontId="0" fillId="0" borderId="67" xfId="0" applyNumberFormat="1" applyBorder="1"/>
    <xf numFmtId="168" fontId="93" fillId="0" borderId="67" xfId="0" applyNumberFormat="1" applyFont="1" applyBorder="1"/>
    <xf numFmtId="168" fontId="93" fillId="8" borderId="67" xfId="0" applyNumberFormat="1" applyFont="1" applyFill="1" applyBorder="1"/>
    <xf numFmtId="0" fontId="93" fillId="15" borderId="68" xfId="0" applyFont="1" applyFill="1" applyBorder="1" applyAlignment="1">
      <alignment horizontal="center" wrapText="1"/>
    </xf>
    <xf numFmtId="168" fontId="94" fillId="15" borderId="68" xfId="0" applyNumberFormat="1" applyFont="1" applyFill="1" applyBorder="1"/>
    <xf numFmtId="168" fontId="0" fillId="0" borderId="68" xfId="0" applyNumberFormat="1" applyBorder="1"/>
    <xf numFmtId="168" fontId="93" fillId="0" borderId="68" xfId="0" applyNumberFormat="1" applyFont="1" applyBorder="1"/>
    <xf numFmtId="168" fontId="93" fillId="8" borderId="68" xfId="0" applyNumberFormat="1" applyFont="1" applyFill="1" applyBorder="1"/>
    <xf numFmtId="168" fontId="94" fillId="15" borderId="66" xfId="0" applyNumberFormat="1" applyFont="1" applyFill="1" applyBorder="1"/>
    <xf numFmtId="0" fontId="93" fillId="15" borderId="82" xfId="0" applyFont="1" applyFill="1" applyBorder="1" applyAlignment="1">
      <alignment horizontal="center" wrapText="1"/>
    </xf>
    <xf numFmtId="168" fontId="94" fillId="15" borderId="70" xfId="0" applyNumberFormat="1" applyFont="1" applyFill="1" applyBorder="1"/>
    <xf numFmtId="168" fontId="0" fillId="0" borderId="70" xfId="0" applyNumberFormat="1" applyBorder="1"/>
    <xf numFmtId="168" fontId="93" fillId="12" borderId="70" xfId="0" applyNumberFormat="1" applyFont="1" applyFill="1" applyBorder="1"/>
    <xf numFmtId="168" fontId="93" fillId="8" borderId="70" xfId="0" applyNumberFormat="1" applyFont="1" applyFill="1" applyBorder="1"/>
    <xf numFmtId="168" fontId="93" fillId="0" borderId="70" xfId="0" applyNumberFormat="1" applyFont="1" applyBorder="1"/>
    <xf numFmtId="168" fontId="94" fillId="15" borderId="81" xfId="0" applyNumberFormat="1" applyFont="1" applyFill="1" applyBorder="1"/>
    <xf numFmtId="43" fontId="52" fillId="0" borderId="0" xfId="16" applyFont="1"/>
    <xf numFmtId="43" fontId="79" fillId="8" borderId="0" xfId="16" applyFont="1" applyFill="1"/>
    <xf numFmtId="43" fontId="79" fillId="10" borderId="68" xfId="16" applyFont="1" applyFill="1" applyBorder="1"/>
    <xf numFmtId="43" fontId="87" fillId="0" borderId="0" xfId="16" applyFont="1"/>
    <xf numFmtId="168" fontId="52" fillId="19" borderId="69" xfId="33" applyNumberFormat="1" applyFill="1" applyBorder="1"/>
    <xf numFmtId="43" fontId="19" fillId="0" borderId="0" xfId="16" applyFont="1"/>
    <xf numFmtId="168" fontId="93" fillId="10" borderId="68" xfId="0" applyNumberFormat="1" applyFont="1" applyFill="1" applyBorder="1"/>
    <xf numFmtId="0" fontId="79" fillId="11" borderId="48" xfId="33" applyFont="1" applyFill="1" applyBorder="1" applyAlignment="1">
      <alignment horizontal="center" wrapText="1"/>
    </xf>
    <xf numFmtId="0" fontId="33" fillId="0" borderId="63" xfId="0" applyFont="1" applyBorder="1"/>
    <xf numFmtId="43" fontId="30" fillId="0" borderId="0" xfId="16" applyFont="1"/>
    <xf numFmtId="168" fontId="63" fillId="0" borderId="0" xfId="33" applyNumberFormat="1" applyFont="1" applyAlignment="1">
      <alignment horizontal="right"/>
    </xf>
    <xf numFmtId="0" fontId="95" fillId="0" borderId="0" xfId="0" applyFont="1"/>
    <xf numFmtId="0" fontId="96" fillId="0" borderId="0" xfId="0" applyFont="1" applyAlignment="1">
      <alignment horizontal="left"/>
    </xf>
    <xf numFmtId="0" fontId="96" fillId="0" borderId="0" xfId="0" applyFont="1"/>
    <xf numFmtId="0" fontId="97" fillId="0" borderId="0" xfId="4" applyFont="1"/>
    <xf numFmtId="0" fontId="98" fillId="0" borderId="0" xfId="4" applyFont="1"/>
    <xf numFmtId="14" fontId="97" fillId="0" borderId="0" xfId="4" applyNumberFormat="1" applyFont="1" applyAlignment="1">
      <alignment horizontal="center"/>
    </xf>
    <xf numFmtId="170" fontId="98" fillId="0" borderId="0" xfId="41" applyNumberFormat="1" applyFont="1" applyFill="1"/>
    <xf numFmtId="170" fontId="98" fillId="0" borderId="6" xfId="4" applyNumberFormat="1" applyFont="1" applyBorder="1"/>
    <xf numFmtId="170" fontId="98" fillId="0" borderId="0" xfId="4" applyNumberFormat="1" applyFont="1"/>
    <xf numFmtId="10" fontId="98" fillId="0" borderId="0" xfId="3" applyNumberFormat="1" applyFont="1" applyAlignment="1">
      <alignment horizontal="center"/>
    </xf>
    <xf numFmtId="14" fontId="98" fillId="0" borderId="0" xfId="4" applyNumberFormat="1" applyFont="1" applyAlignment="1">
      <alignment horizontal="center"/>
    </xf>
    <xf numFmtId="170" fontId="98" fillId="0" borderId="0" xfId="41" applyNumberFormat="1" applyFont="1"/>
    <xf numFmtId="170" fontId="98" fillId="0" borderId="6" xfId="41" applyNumberFormat="1" applyFont="1" applyFill="1" applyBorder="1"/>
    <xf numFmtId="170" fontId="98" fillId="0" borderId="48" xfId="4" applyNumberFormat="1" applyFont="1" applyBorder="1"/>
    <xf numFmtId="0" fontId="28" fillId="0" borderId="0" xfId="4" applyFont="1" applyAlignment="1">
      <alignment horizontal="center"/>
    </xf>
    <xf numFmtId="14" fontId="98" fillId="0" borderId="0" xfId="4" applyNumberFormat="1" applyFont="1"/>
    <xf numFmtId="10" fontId="98" fillId="0" borderId="0" xfId="3" applyNumberFormat="1" applyFont="1" applyFill="1" applyAlignment="1">
      <alignment horizontal="center"/>
    </xf>
    <xf numFmtId="10" fontId="98" fillId="0" borderId="0" xfId="3" applyNumberFormat="1" applyFont="1"/>
    <xf numFmtId="0" fontId="99" fillId="0" borderId="0" xfId="4" applyFont="1" applyAlignment="1">
      <alignment horizontal="right" indent="1"/>
    </xf>
    <xf numFmtId="170" fontId="99" fillId="0" borderId="48" xfId="4" applyNumberFormat="1" applyFont="1" applyBorder="1"/>
    <xf numFmtId="0" fontId="100" fillId="0" borderId="0" xfId="4" applyFont="1" applyAlignment="1">
      <alignment horizontal="right"/>
    </xf>
    <xf numFmtId="0" fontId="29" fillId="0" borderId="0" xfId="38" applyFont="1"/>
    <xf numFmtId="0" fontId="30" fillId="16" borderId="16" xfId="9" applyFont="1" applyFill="1" applyBorder="1" applyAlignment="1">
      <alignment horizontal="left" vertical="top"/>
    </xf>
    <xf numFmtId="0" fontId="30" fillId="0" borderId="0" xfId="9" applyFont="1"/>
    <xf numFmtId="40" fontId="30" fillId="15" borderId="14" xfId="9" applyNumberFormat="1" applyFont="1" applyFill="1" applyBorder="1" applyAlignment="1">
      <alignment horizontal="right" vertical="top"/>
    </xf>
    <xf numFmtId="171" fontId="30" fillId="15" borderId="14" xfId="34" applyNumberFormat="1" applyFont="1" applyFill="1" applyBorder="1" applyAlignment="1">
      <alignment horizontal="center" vertical="top"/>
    </xf>
    <xf numFmtId="0" fontId="30" fillId="15" borderId="17" xfId="9" applyFont="1" applyFill="1" applyBorder="1" applyAlignment="1">
      <alignment horizontal="left" vertical="top"/>
    </xf>
    <xf numFmtId="40" fontId="30" fillId="15" borderId="16" xfId="9" applyNumberFormat="1" applyFont="1" applyFill="1" applyBorder="1" applyAlignment="1">
      <alignment horizontal="right" vertical="top"/>
    </xf>
    <xf numFmtId="0" fontId="30" fillId="16" borderId="17" xfId="9" applyFont="1" applyFill="1" applyBorder="1" applyAlignment="1">
      <alignment horizontal="left" vertical="top"/>
    </xf>
    <xf numFmtId="40" fontId="33" fillId="24" borderId="48" xfId="9" applyNumberFormat="1" applyFont="1" applyFill="1" applyBorder="1" applyAlignment="1">
      <alignment horizontal="right" vertical="top"/>
    </xf>
    <xf numFmtId="40" fontId="33" fillId="24" borderId="83" xfId="9" applyNumberFormat="1" applyFont="1" applyFill="1" applyBorder="1" applyAlignment="1">
      <alignment horizontal="right" vertical="top"/>
    </xf>
    <xf numFmtId="40" fontId="33" fillId="24" borderId="17" xfId="9" applyNumberFormat="1" applyFont="1" applyFill="1" applyBorder="1" applyAlignment="1">
      <alignment horizontal="right" vertical="top"/>
    </xf>
    <xf numFmtId="40" fontId="33" fillId="24" borderId="14" xfId="9" applyNumberFormat="1" applyFont="1" applyFill="1" applyBorder="1" applyAlignment="1">
      <alignment horizontal="right" vertical="top"/>
    </xf>
    <xf numFmtId="0" fontId="29" fillId="0" borderId="0" xfId="9" applyFont="1" applyAlignment="1">
      <alignment horizontal="center"/>
    </xf>
    <xf numFmtId="40" fontId="30" fillId="15" borderId="17" xfId="9" applyNumberFormat="1" applyFont="1" applyFill="1" applyBorder="1" applyAlignment="1">
      <alignment horizontal="right" vertical="top"/>
    </xf>
    <xf numFmtId="40" fontId="30" fillId="15" borderId="15" xfId="9" applyNumberFormat="1" applyFont="1" applyFill="1" applyBorder="1" applyAlignment="1">
      <alignment horizontal="right" vertical="top"/>
    </xf>
    <xf numFmtId="0" fontId="26" fillId="0" borderId="0" xfId="6" applyFont="1"/>
    <xf numFmtId="0" fontId="101" fillId="0" borderId="0" xfId="6" applyFont="1"/>
    <xf numFmtId="165" fontId="27" fillId="0" borderId="0" xfId="8" applyNumberFormat="1" applyFont="1"/>
    <xf numFmtId="0" fontId="101" fillId="0" borderId="0" xfId="6" applyFont="1" applyAlignment="1">
      <alignment horizontal="center"/>
    </xf>
    <xf numFmtId="0" fontId="27" fillId="0" borderId="63" xfId="10" applyFont="1" applyBorder="1" applyAlignment="1">
      <alignment horizontal="center" vertical="center"/>
    </xf>
    <xf numFmtId="0" fontId="26" fillId="0" borderId="0" xfId="6" applyFont="1" applyAlignment="1">
      <alignment horizontal="center"/>
    </xf>
    <xf numFmtId="0" fontId="23" fillId="0" borderId="0" xfId="6" applyFont="1" applyAlignment="1">
      <alignment horizontal="center"/>
    </xf>
    <xf numFmtId="0" fontId="23" fillId="0" borderId="0" xfId="6" quotePrefix="1" applyFont="1" applyAlignment="1">
      <alignment horizontal="center"/>
    </xf>
    <xf numFmtId="170" fontId="27" fillId="0" borderId="0" xfId="42" applyNumberFormat="1" applyFont="1"/>
    <xf numFmtId="165" fontId="27" fillId="0" borderId="0" xfId="8" applyNumberFormat="1" applyFont="1" applyAlignment="1">
      <alignment horizontal="right"/>
    </xf>
    <xf numFmtId="0" fontId="101" fillId="0" borderId="0" xfId="6" applyFont="1" applyAlignment="1">
      <alignment horizontal="right"/>
    </xf>
    <xf numFmtId="165" fontId="26" fillId="0" borderId="0" xfId="8" applyNumberFormat="1" applyFont="1" applyAlignment="1">
      <alignment horizontal="center" wrapText="1"/>
    </xf>
    <xf numFmtId="42" fontId="27" fillId="0" borderId="0" xfId="42" applyNumberFormat="1" applyFont="1"/>
    <xf numFmtId="0" fontId="23" fillId="0" borderId="0" xfId="6" applyFont="1"/>
    <xf numFmtId="165" fontId="101" fillId="0" borderId="0" xfId="6" applyNumberFormat="1" applyFont="1"/>
    <xf numFmtId="170" fontId="101" fillId="0" borderId="0" xfId="6" applyNumberFormat="1" applyFont="1"/>
    <xf numFmtId="165" fontId="27" fillId="0" borderId="0" xfId="8" applyNumberFormat="1" applyFont="1" applyFill="1"/>
    <xf numFmtId="170" fontId="101" fillId="0" borderId="48" xfId="6" applyNumberFormat="1" applyFont="1" applyBorder="1"/>
    <xf numFmtId="0" fontId="28" fillId="0" borderId="0" xfId="6" applyFont="1" applyAlignment="1">
      <alignment horizontal="center"/>
    </xf>
    <xf numFmtId="0" fontId="101" fillId="11" borderId="0" xfId="6" applyFont="1" applyFill="1" applyAlignment="1">
      <alignment horizontal="center"/>
    </xf>
    <xf numFmtId="0" fontId="100" fillId="0" borderId="0" xfId="6" applyFont="1" applyAlignment="1">
      <alignment horizontal="center"/>
    </xf>
    <xf numFmtId="170" fontId="27" fillId="11" borderId="0" xfId="42" applyNumberFormat="1" applyFont="1" applyFill="1"/>
    <xf numFmtId="165" fontId="30" fillId="6" borderId="0" xfId="16" applyNumberFormat="1" applyFont="1" applyFill="1"/>
    <xf numFmtId="165" fontId="30" fillId="19" borderId="0" xfId="16" applyNumberFormat="1" applyFont="1" applyFill="1"/>
    <xf numFmtId="165" fontId="30" fillId="8" borderId="0" xfId="16" applyNumberFormat="1" applyFont="1" applyFill="1"/>
    <xf numFmtId="165" fontId="30" fillId="22" borderId="0" xfId="16" applyNumberFormat="1" applyFont="1" applyFill="1"/>
    <xf numFmtId="165" fontId="30" fillId="9" borderId="0" xfId="16" applyNumberFormat="1" applyFont="1" applyFill="1"/>
    <xf numFmtId="165" fontId="30" fillId="5" borderId="0" xfId="16" applyNumberFormat="1" applyFont="1" applyFill="1"/>
    <xf numFmtId="39" fontId="90" fillId="11" borderId="14" xfId="0" applyNumberFormat="1" applyFont="1" applyFill="1" applyBorder="1" applyAlignment="1">
      <alignment horizontal="right" vertical="top"/>
    </xf>
    <xf numFmtId="39" fontId="30" fillId="11" borderId="0" xfId="0" applyNumberFormat="1" applyFont="1" applyFill="1"/>
    <xf numFmtId="165" fontId="102" fillId="0" borderId="0" xfId="0" applyNumberFormat="1" applyFont="1"/>
    <xf numFmtId="0" fontId="76" fillId="0" borderId="0" xfId="0" applyFont="1"/>
    <xf numFmtId="0" fontId="102" fillId="0" borderId="0" xfId="0" applyFont="1"/>
    <xf numFmtId="165" fontId="76" fillId="0" borderId="0" xfId="16" applyNumberFormat="1" applyFont="1"/>
    <xf numFmtId="165" fontId="102" fillId="0" borderId="0" xfId="16" applyNumberFormat="1" applyFont="1"/>
    <xf numFmtId="10" fontId="76" fillId="0" borderId="0" xfId="28" applyNumberFormat="1" applyFont="1"/>
    <xf numFmtId="165" fontId="76" fillId="0" borderId="0" xfId="16" applyNumberFormat="1" applyFont="1" applyAlignment="1">
      <alignment wrapText="1"/>
    </xf>
    <xf numFmtId="165" fontId="102" fillId="0" borderId="0" xfId="16" applyNumberFormat="1" applyFont="1" applyBorder="1"/>
    <xf numFmtId="165" fontId="33" fillId="0" borderId="0" xfId="16" applyNumberFormat="1" applyFont="1" applyBorder="1"/>
    <xf numFmtId="0" fontId="76" fillId="0" borderId="0" xfId="0" applyFont="1" applyAlignment="1">
      <alignment wrapText="1"/>
    </xf>
    <xf numFmtId="49" fontId="47" fillId="0" borderId="0" xfId="43" applyNumberFormat="1" applyFont="1"/>
    <xf numFmtId="0" fontId="1" fillId="0" borderId="0" xfId="43"/>
    <xf numFmtId="39" fontId="1" fillId="0" borderId="0" xfId="43" applyNumberFormat="1"/>
    <xf numFmtId="17" fontId="47" fillId="0" borderId="0" xfId="43" applyNumberFormat="1" applyFont="1"/>
    <xf numFmtId="39" fontId="47" fillId="0" borderId="0" xfId="43" applyNumberFormat="1" applyFont="1"/>
    <xf numFmtId="0" fontId="47" fillId="0" borderId="0" xfId="43" applyFont="1"/>
    <xf numFmtId="49" fontId="1" fillId="0" borderId="0" xfId="43" applyNumberFormat="1"/>
    <xf numFmtId="8" fontId="1" fillId="0" borderId="0" xfId="43" applyNumberFormat="1"/>
    <xf numFmtId="10" fontId="1" fillId="0" borderId="0" xfId="43" applyNumberFormat="1"/>
    <xf numFmtId="10" fontId="74" fillId="11" borderId="0" xfId="28" applyNumberFormat="1" applyFont="1" applyFill="1"/>
    <xf numFmtId="0" fontId="103" fillId="0" borderId="0" xfId="0" applyFont="1"/>
    <xf numFmtId="0" fontId="17" fillId="0" borderId="0" xfId="0" applyFont="1"/>
    <xf numFmtId="0" fontId="18" fillId="2" borderId="0" xfId="0" applyFont="1" applyFill="1"/>
    <xf numFmtId="43" fontId="18" fillId="2" borderId="0" xfId="16" applyFont="1" applyFill="1"/>
    <xf numFmtId="0" fontId="18" fillId="2" borderId="84" xfId="0" applyFont="1" applyFill="1" applyBorder="1"/>
    <xf numFmtId="43" fontId="18" fillId="2" borderId="84" xfId="16" applyFont="1" applyFill="1" applyBorder="1" applyAlignment="1">
      <alignment horizontal="center" wrapText="1"/>
    </xf>
    <xf numFmtId="0" fontId="18" fillId="0" borderId="0" xfId="0" applyFont="1"/>
    <xf numFmtId="43" fontId="17" fillId="0" borderId="0" xfId="0" applyNumberFormat="1" applyFont="1"/>
    <xf numFmtId="0" fontId="18" fillId="0" borderId="84" xfId="0" applyFont="1" applyBorder="1"/>
    <xf numFmtId="0" fontId="18" fillId="2" borderId="85" xfId="0" applyFont="1" applyFill="1" applyBorder="1"/>
    <xf numFmtId="43" fontId="18" fillId="2" borderId="85" xfId="16" applyFont="1" applyFill="1" applyBorder="1"/>
    <xf numFmtId="0" fontId="8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3" fillId="0" borderId="11" xfId="0" applyFont="1" applyBorder="1" applyAlignment="1">
      <alignment horizontal="center"/>
    </xf>
    <xf numFmtId="165" fontId="33" fillId="4" borderId="8" xfId="16" applyNumberFormat="1" applyFont="1" applyFill="1" applyBorder="1" applyAlignment="1">
      <alignment horizontal="center"/>
    </xf>
    <xf numFmtId="165" fontId="33" fillId="4" borderId="63" xfId="16" applyNumberFormat="1" applyFont="1" applyFill="1" applyBorder="1" applyAlignment="1">
      <alignment horizontal="center"/>
    </xf>
    <xf numFmtId="165" fontId="33" fillId="4" borderId="9" xfId="16" applyNumberFormat="1" applyFont="1" applyFill="1" applyBorder="1" applyAlignment="1">
      <alignment horizontal="center"/>
    </xf>
    <xf numFmtId="0" fontId="18" fillId="0" borderId="29" xfId="18" applyFont="1" applyBorder="1" applyAlignment="1">
      <alignment horizontal="center" wrapText="1"/>
    </xf>
    <xf numFmtId="0" fontId="18" fillId="0" borderId="30" xfId="18" applyFont="1" applyBorder="1" applyAlignment="1">
      <alignment horizontal="center" wrapText="1"/>
    </xf>
    <xf numFmtId="0" fontId="55" fillId="0" borderId="0" xfId="22" applyFont="1" applyAlignment="1">
      <alignment horizontal="left"/>
    </xf>
    <xf numFmtId="0" fontId="19" fillId="0" borderId="0" xfId="18" applyFont="1" applyAlignment="1">
      <alignment horizontal="left" vertical="top" wrapText="1"/>
    </xf>
    <xf numFmtId="43" fontId="18" fillId="0" borderId="22" xfId="19" applyFont="1" applyFill="1" applyBorder="1" applyAlignment="1">
      <alignment horizontal="center" wrapText="1"/>
    </xf>
    <xf numFmtId="43" fontId="18" fillId="0" borderId="23" xfId="19" applyFont="1" applyFill="1" applyBorder="1" applyAlignment="1">
      <alignment horizontal="center" wrapText="1"/>
    </xf>
    <xf numFmtId="43" fontId="18" fillId="0" borderId="20" xfId="19" applyFont="1" applyFill="1" applyBorder="1" applyAlignment="1">
      <alignment horizontal="center" wrapText="1"/>
    </xf>
    <xf numFmtId="43" fontId="18" fillId="0" borderId="24" xfId="19" applyFont="1" applyBorder="1" applyAlignment="1">
      <alignment horizontal="center" wrapText="1"/>
    </xf>
    <xf numFmtId="43" fontId="18" fillId="0" borderId="25" xfId="19" applyFont="1" applyBorder="1" applyAlignment="1">
      <alignment horizontal="center" wrapText="1"/>
    </xf>
    <xf numFmtId="0" fontId="18" fillId="0" borderId="26" xfId="18" applyFont="1" applyBorder="1" applyAlignment="1">
      <alignment horizontal="center" wrapText="1"/>
    </xf>
    <xf numFmtId="0" fontId="18" fillId="0" borderId="27" xfId="18" applyFont="1" applyBorder="1" applyAlignment="1">
      <alignment horizontal="center" wrapText="1"/>
    </xf>
    <xf numFmtId="0" fontId="43" fillId="15" borderId="0" xfId="0" applyFont="1" applyFill="1" applyAlignment="1">
      <alignment horizontal="center"/>
    </xf>
    <xf numFmtId="0" fontId="41" fillId="15" borderId="0" xfId="0" applyFont="1" applyFill="1" applyAlignment="1">
      <alignment horizontal="left" wrapText="1"/>
    </xf>
    <xf numFmtId="167" fontId="67" fillId="20" borderId="4" xfId="24" applyNumberFormat="1" applyFont="1" applyBorder="1" applyAlignment="1">
      <alignment horizontal="center"/>
    </xf>
    <xf numFmtId="0" fontId="64" fillId="20" borderId="4" xfId="24" applyBorder="1" applyAlignment="1">
      <alignment horizontal="center"/>
    </xf>
    <xf numFmtId="0" fontId="67" fillId="20" borderId="64" xfId="24" applyFont="1" applyBorder="1" applyAlignment="1">
      <alignment horizontal="center"/>
    </xf>
    <xf numFmtId="167" fontId="67" fillId="20" borderId="0" xfId="24" applyNumberFormat="1" applyFont="1" applyAlignment="1">
      <alignment horizontal="center"/>
    </xf>
    <xf numFmtId="0" fontId="67" fillId="20" borderId="0" xfId="24" applyFont="1" applyAlignment="1">
      <alignment horizontal="right"/>
    </xf>
    <xf numFmtId="0" fontId="70" fillId="12" borderId="8" xfId="24" applyFont="1" applyFill="1" applyBorder="1" applyAlignment="1">
      <alignment horizontal="center" vertical="top"/>
    </xf>
    <xf numFmtId="0" fontId="70" fillId="12" borderId="9" xfId="24" applyFont="1" applyFill="1" applyBorder="1" applyAlignment="1">
      <alignment horizontal="center" vertical="top"/>
    </xf>
    <xf numFmtId="0" fontId="65" fillId="0" borderId="64" xfId="24" applyFont="1" applyFill="1" applyBorder="1" applyAlignment="1">
      <alignment horizontal="center"/>
    </xf>
    <xf numFmtId="0" fontId="80" fillId="0" borderId="0" xfId="38" applyFont="1" applyAlignment="1">
      <alignment horizontal="center" vertical="center"/>
    </xf>
    <xf numFmtId="0" fontId="20" fillId="0" borderId="0" xfId="38" applyFont="1" applyAlignment="1">
      <alignment horizontal="left" vertical="center" wrapText="1"/>
    </xf>
    <xf numFmtId="0" fontId="97" fillId="0" borderId="0" xfId="4" applyFont="1" applyAlignment="1">
      <alignment horizontal="center"/>
    </xf>
    <xf numFmtId="0" fontId="98" fillId="0" borderId="0" xfId="4" applyFont="1" applyAlignment="1">
      <alignment horizontal="center"/>
    </xf>
    <xf numFmtId="0" fontId="44" fillId="0" borderId="0" xfId="1" applyFont="1" applyAlignment="1">
      <alignment horizontal="left" vertical="top" wrapText="1"/>
    </xf>
    <xf numFmtId="0" fontId="45" fillId="0" borderId="0" xfId="1" applyFont="1" applyAlignment="1">
      <alignment horizontal="left" vertical="top" wrapText="1"/>
    </xf>
    <xf numFmtId="49" fontId="28" fillId="0" borderId="0" xfId="26" applyNumberFormat="1" applyFont="1" applyAlignment="1">
      <alignment horizontal="center"/>
    </xf>
  </cellXfs>
  <cellStyles count="44">
    <cellStyle name="Comma" xfId="16" builtinId="3"/>
    <cellStyle name="Comma 2" xfId="8" xr:uid="{00000000-0005-0000-0000-000001000000}"/>
    <cellStyle name="Comma 3" xfId="27" xr:uid="{445AF5A7-FEA5-4B74-AEB2-D290D00A2110}"/>
    <cellStyle name="Comma 4" xfId="19" xr:uid="{00000000-0005-0000-0000-000002000000}"/>
    <cellStyle name="Comma 5" xfId="32" xr:uid="{4AECE977-A067-4C99-9395-D4012BB46CB4}"/>
    <cellStyle name="Currency 2" xfId="11" xr:uid="{00000000-0005-0000-0000-000003000000}"/>
    <cellStyle name="Currency 3" xfId="41" xr:uid="{9D99E9B4-B516-4B00-A83E-B7284948AA83}"/>
    <cellStyle name="Currency 4" xfId="42" xr:uid="{3E62E94B-2628-47C2-B1ED-75E49AB36464}"/>
    <cellStyle name="Hyperlink" xfId="20" builtinId="8"/>
    <cellStyle name="Hyperlink 2" xfId="22" xr:uid="{00000000-0005-0000-0000-000005000000}"/>
    <cellStyle name="Normal" xfId="0" builtinId="0"/>
    <cellStyle name="Normal 10" xfId="33" xr:uid="{5B444B21-9BE4-40E6-838A-991040C4293E}"/>
    <cellStyle name="Normal 11" xfId="39" xr:uid="{E95EC401-965F-4AA0-9F30-60E6F28668D8}"/>
    <cellStyle name="Normal 11 2" xfId="40" xr:uid="{BEFE9AE2-E6AE-4C06-93E8-16709631DE3C}"/>
    <cellStyle name="Normal 12" xfId="43" xr:uid="{E6F88DFC-4507-496C-A231-45457AE1CB87}"/>
    <cellStyle name="Normal 2" xfId="2" xr:uid="{00000000-0005-0000-0000-000007000000}"/>
    <cellStyle name="Normal 2 2" xfId="5" xr:uid="{00000000-0005-0000-0000-000008000000}"/>
    <cellStyle name="Normal 2 2 21" xfId="10" xr:uid="{00000000-0005-0000-0000-000009000000}"/>
    <cellStyle name="Normal 2 3" xfId="24" xr:uid="{0018D130-17F1-460F-99B0-A18FADC26A50}"/>
    <cellStyle name="Normal 2 4" xfId="37" xr:uid="{8308F7EB-0C9E-49CD-ACAE-8F83BB3BBDAF}"/>
    <cellStyle name="Normal 2 5" xfId="38" xr:uid="{7DDD078B-5447-47F0-B4D3-B4BFE331AD1C}"/>
    <cellStyle name="Normal 3" xfId="4" xr:uid="{00000000-0005-0000-0000-00000A000000}"/>
    <cellStyle name="Normal 3 2" xfId="6" xr:uid="{00000000-0005-0000-0000-00000B000000}"/>
    <cellStyle name="Normal 3 2 2" xfId="21" xr:uid="{00000000-0005-0000-0000-00000C000000}"/>
    <cellStyle name="Normal 3 3" xfId="35" xr:uid="{A74630CB-1901-4C97-A82F-0B4C56E3B17E}"/>
    <cellStyle name="Normal 4" xfId="9" xr:uid="{00000000-0005-0000-0000-00000D000000}"/>
    <cellStyle name="Normal 5" xfId="17" xr:uid="{00000000-0005-0000-0000-00000E000000}"/>
    <cellStyle name="Normal 5 2" xfId="18" xr:uid="{00000000-0005-0000-0000-00000F000000}"/>
    <cellStyle name="Normal 5 3" xfId="29" xr:uid="{C75F1885-6BD5-4015-8BF2-5362AD1EEF47}"/>
    <cellStyle name="Normal 6" xfId="23" xr:uid="{03268FB1-6384-449D-A32E-717E30149132}"/>
    <cellStyle name="Normal 6 10" xfId="1" xr:uid="{00000000-0005-0000-0000-000010000000}"/>
    <cellStyle name="Normal 69" xfId="14" xr:uid="{00000000-0005-0000-0000-000011000000}"/>
    <cellStyle name="Normal 7" xfId="26" xr:uid="{CA94C6BC-E2F6-4C31-8CF7-8E349182F791}"/>
    <cellStyle name="Normal 70" xfId="7" xr:uid="{00000000-0005-0000-0000-000012000000}"/>
    <cellStyle name="Normal 72" xfId="15" xr:uid="{00000000-0005-0000-0000-000013000000}"/>
    <cellStyle name="Normal 74" xfId="12" xr:uid="{00000000-0005-0000-0000-000014000000}"/>
    <cellStyle name="Normal 8" xfId="30" xr:uid="{4364CC4B-E813-4B94-B143-225C7708F658}"/>
    <cellStyle name="Normal 80" xfId="13" xr:uid="{00000000-0005-0000-0000-000015000000}"/>
    <cellStyle name="Normal 9" xfId="31" xr:uid="{16684ABF-BA38-4120-B583-733259C1C22E}"/>
    <cellStyle name="Percent" xfId="28" builtinId="5"/>
    <cellStyle name="Percent 2" xfId="3" xr:uid="{00000000-0005-0000-0000-000018000000}"/>
    <cellStyle name="Percent 2 2" xfId="25" xr:uid="{E722C621-74C3-473F-B19E-92DC6C3548DB}"/>
    <cellStyle name="Percent 2 3" xfId="36" xr:uid="{85CF8875-6B58-4C96-AF23-3E62F18BB318}"/>
    <cellStyle name="Percent 3" xfId="34" xr:uid="{DAA44583-FFBB-4AE3-91C9-F3A0D0ECD294}"/>
  </cellStyles>
  <dxfs count="51">
    <dxf>
      <numFmt numFmtId="165" formatCode="_(* #,##0_);_(* \(#,##0\);_(* &quot;-&quot;??_);_(@_)"/>
    </dxf>
    <dxf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m/d/yyyy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righ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5" formatCode="_(* #,##0.00_);_(* \(#,##0.00\);_(* &quot;-&quot;??_);_(@_)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5" formatCode="_(* #,##0.00_);_(* \(#,##0.00\);_(* &quot;-&quot;??_);_(@_)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5" formatCode="_(* #,##0.00_);_(* \(#,##0.00\);_(* &quot;-&quot;??_);_(@_)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19" formatCode="m/d/yyyy"/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outline="0">
        <bottom style="medium">
          <color indexed="64"/>
        </bottom>
      </border>
    </dxf>
    <dxf>
      <alignment vertical="center" textRotation="0" indent="0" justifyLastLine="0" shrinkToFit="0" readingOrder="0"/>
    </dxf>
  </dxfs>
  <tableStyles count="0" defaultTableStyle="TableStyleMedium2" defaultPivotStyle="PivotStyleLight16"/>
  <colors>
    <mruColors>
      <color rgb="FF303A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18.xml"/><Relationship Id="rId47" Type="http://schemas.openxmlformats.org/officeDocument/2006/relationships/pivotCacheDefinition" Target="pivotCache/pivotCacheDefinition1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Relationship Id="rId48" Type="http://schemas.openxmlformats.org/officeDocument/2006/relationships/pivotCacheDefinition" Target="pivotCache/pivotCacheDefinition2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2495550</xdr:colOff>
      <xdr:row>0</xdr:row>
      <xdr:rowOff>0</xdr:rowOff>
    </xdr:from>
    <xdr:to>
      <xdr:col>10</xdr:col>
      <xdr:colOff>943212</xdr:colOff>
      <xdr:row>32</xdr:row>
      <xdr:rowOff>57453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AA3077-6123-73A7-4F13-A40343F98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72525" y="0"/>
          <a:ext cx="4616687" cy="5886753"/>
        </a:xfrm>
        <a:prstGeom prst="rect">
          <a:avLst/>
        </a:prstGeom>
      </xdr:spPr>
    </xdr:pic>
    <xdr:clientData/>
  </xdr:twoCellAnchor>
  <xdr:twoCellAnchor>
    <xdr:from>
      <xdr:col>4</xdr:col>
      <xdr:colOff>1085850</xdr:colOff>
      <xdr:row>21</xdr:row>
      <xdr:rowOff>114300</xdr:rowOff>
    </xdr:from>
    <xdr:to>
      <xdr:col>8</xdr:col>
      <xdr:colOff>912813</xdr:colOff>
      <xdr:row>25</xdr:row>
      <xdr:rowOff>63500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36F5FA4-D51B-70FA-E752-BEF4674B10EA}"/>
            </a:ext>
          </a:extLst>
        </xdr:cNvPr>
        <xdr:cNvCxnSpPr/>
      </xdr:nvCxnSpPr>
      <xdr:spPr>
        <a:xfrm>
          <a:off x="6213475" y="3979863"/>
          <a:ext cx="5176838" cy="679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79212</xdr:colOff>
      <xdr:row>7</xdr:row>
      <xdr:rowOff>23665</xdr:rowOff>
    </xdr:from>
    <xdr:to>
      <xdr:col>9</xdr:col>
      <xdr:colOff>833772</xdr:colOff>
      <xdr:row>7</xdr:row>
      <xdr:rowOff>47785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7F87CC0C-75AC-354C-E9CE-7F8B7355EF70}"/>
                </a:ext>
              </a:extLst>
            </xdr14:cNvPr>
            <xdr14:cNvContentPartPr/>
          </xdr14:nvContentPartPr>
          <xdr14:nvPr macro=""/>
          <xdr14:xfrm>
            <a:off x="10850400" y="1373040"/>
            <a:ext cx="754560" cy="24120"/>
          </xdr14:xfrm>
        </xdr:contentPart>
      </mc:Choice>
      <mc:Fallback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7F87CC0C-75AC-354C-E9CE-7F8B7355EF70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0796400" y="1265040"/>
              <a:ext cx="862200" cy="239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150692</xdr:colOff>
      <xdr:row>8</xdr:row>
      <xdr:rowOff>55285</xdr:rowOff>
    </xdr:from>
    <xdr:to>
      <xdr:col>10</xdr:col>
      <xdr:colOff>746132</xdr:colOff>
      <xdr:row>8</xdr:row>
      <xdr:rowOff>95605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BD52FDD9-B699-221F-37B5-0040D414C2D2}"/>
                </a:ext>
              </a:extLst>
            </xdr14:cNvPr>
            <xdr14:cNvContentPartPr/>
          </xdr14:nvContentPartPr>
          <xdr14:nvPr macro=""/>
          <xdr14:xfrm>
            <a:off x="11810880" y="1595160"/>
            <a:ext cx="595440" cy="40320"/>
          </xdr14:xfrm>
        </xdr:contentPart>
      </mc:Choice>
      <mc:Fallback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BD52FDD9-B699-221F-37B5-0040D414C2D2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1756880" y="1487160"/>
              <a:ext cx="703080" cy="255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612322</xdr:colOff>
      <xdr:row>5</xdr:row>
      <xdr:rowOff>136072</xdr:rowOff>
    </xdr:from>
    <xdr:to>
      <xdr:col>20</xdr:col>
      <xdr:colOff>421822</xdr:colOff>
      <xdr:row>5</xdr:row>
      <xdr:rowOff>163286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5D49CF9-D102-EC07-DBA9-563526886467}"/>
            </a:ext>
          </a:extLst>
        </xdr:cNvPr>
        <xdr:cNvCxnSpPr/>
      </xdr:nvCxnSpPr>
      <xdr:spPr>
        <a:xfrm flipV="1">
          <a:off x="8599715" y="1129393"/>
          <a:ext cx="4340678" cy="2721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464533</xdr:colOff>
      <xdr:row>28</xdr:row>
      <xdr:rowOff>180286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86AD68-C603-84D7-0DF4-0063CFD23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33333" cy="55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0</xdr:rowOff>
    </xdr:from>
    <xdr:to>
      <xdr:col>6</xdr:col>
      <xdr:colOff>284977</xdr:colOff>
      <xdr:row>62</xdr:row>
      <xdr:rowOff>93398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D9062F-E40E-4F8C-BE7F-8FB3CD37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98050"/>
          <a:ext cx="5828527" cy="5791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8</xdr:row>
      <xdr:rowOff>85725</xdr:rowOff>
    </xdr:from>
    <xdr:to>
      <xdr:col>3</xdr:col>
      <xdr:colOff>1009650</xdr:colOff>
      <xdr:row>11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63E670-358D-20A7-5687-1CFEFA2AB909}"/>
            </a:ext>
          </a:extLst>
        </xdr:cNvPr>
        <xdr:cNvSpPr txBox="1"/>
      </xdr:nvSpPr>
      <xdr:spPr>
        <a:xfrm>
          <a:off x="4657725" y="1390650"/>
          <a:ext cx="514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11</xdr:row>
      <xdr:rowOff>66675</xdr:rowOff>
    </xdr:from>
    <xdr:to>
      <xdr:col>3</xdr:col>
      <xdr:colOff>676275</xdr:colOff>
      <xdr:row>14</xdr:row>
      <xdr:rowOff>28575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E19888-996B-4BC9-AA9D-11E685867BFC}"/>
            </a:ext>
          </a:extLst>
        </xdr:cNvPr>
        <xdr:cNvSpPr txBox="1"/>
      </xdr:nvSpPr>
      <xdr:spPr>
        <a:xfrm>
          <a:off x="3505200" y="1771650"/>
          <a:ext cx="5143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571500</xdr:colOff>
      <xdr:row>33</xdr:row>
      <xdr:rowOff>85725</xdr:rowOff>
    </xdr:from>
    <xdr:to>
      <xdr:col>20</xdr:col>
      <xdr:colOff>581025</xdr:colOff>
      <xdr:row>33</xdr:row>
      <xdr:rowOff>85725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EBF27B6B-8EF0-4AAC-9867-985BFAED4CE6}"/>
            </a:ext>
          </a:extLst>
        </xdr:cNvPr>
        <xdr:cNvCxnSpPr/>
      </xdr:nvCxnSpPr>
      <xdr:spPr>
        <a:xfrm>
          <a:off x="14039850" y="6753225"/>
          <a:ext cx="15049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RAD\S_Glaser\Revenue%20Requirement%20Analysis%203-Tr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PLANTACC/Rate%20Case/TEP/ACC/TEP%202021-%20Filed/1-%20Proforma's/Rate%20Base%20-%20Post%20Test%20Year%20Plant/New/TYP%20Estimate%20As%20of%2003-28-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Rate%20Case%202004\Schedules\2004%20Schedule%20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Rate%20Case%202003%20(mock)\RB_COS_RR\2003%20Forecast%20%20Includ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Documents%20and%20Settings/UA03336/Dept%20Plant%20Acct%20%20FA%20-%20Cost%20Summary%20by%20Categor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a51182\Documents\TEP%202022%20Study%20(Statements%20A%20thru%20D)%20Draft%202%20(00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2266\Dept%20Plant%20Acct%20%20FA%20-%20Asset%20Search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3336\Dept%20Plant%20Acct%20%20FA%20-%20Cost%20Summary%20by%20Categor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uslpna01\FORT\Private\2014\Budget%20Monitoring\04%20APR\CBOPT91%20SGS%20Flee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a01766\Dept%20Plant%20Acct%20%20FA%20-%20GL%20Balances.xls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LANTACC/Rate%20Case/UNSG/1%20-%20UNSG%20ARAM/12%20Months%20Ended%20June%202026/2%20-%20Proformas/3%20-%20Depr_Amort_Exp%20Annualization/Files%20not%20Sent/UNSG%20Depr%20and%20Amor%20%20ADIT%20Supporting%20Adjustments%20JUNE.xlsx" TargetMode="External"/><Relationship Id="rId2" Type="http://schemas.openxmlformats.org/officeDocument/2006/relationships/externalLinkPath" Target="file:///G:\PLANTACC\Rate%20Case\UNSG\1%20-%20UNSG%20ARAM\12%20Months%20Ended%20June%202026\3%20-%20Depr_Amort_Exp%20Annualization\Files%20not%20Sent\UNSG%20Depr%20and%20Amor%20%20ADIT%20Supporting%20Adjustments%20JUNE.xlsx" TargetMode="External"/><Relationship Id="rId1" Type="http://schemas.openxmlformats.org/officeDocument/2006/relationships/externalLinkPath" Target="/PLANTACC/Rate%20Case/UNSG/1%20-%20UNSG%20ARAM/12%20Months%20Ended%20June%202026/2%20-%20Proformas/3%20-%20Depr_Amort_Exp%20Annualization/Files%20not%20Sent/UNSG%20Depr%20and%20Amor%20%20ADIT%20Supporting%20Adjustments%20JU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PLANTACC/Depreciation%20Studies/TEP/2015%20Depreciation%20Study-Current/Exhibit%20DJD-S-1.xlsm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PLANTACC\Rate%20Case\UNSG\2024-06%20UNSG%20Rate%20Case\1%20-%20Proformas\Depr_Amort%20Exp%20Annualization\Support%20not%20included\Rate%20Base%20-%20Build-Out%20Plant%20Adjustment.xlsx" TargetMode="External"/><Relationship Id="rId1" Type="http://schemas.openxmlformats.org/officeDocument/2006/relationships/externalLinkPath" Target="https://unsenergy-my.sharepoint.com/PLANTACC/Rate%20Case/UNSG/2024-06%20UNSG%20Rate%20Case/1%20-%20Proformas/Depr_Amort%20Exp%20Annualization/Support%20not%20included/Rate%20Base%20-%20Build-Out%20Plant%20Adjustment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PLANTACC/Rate%20Case/UNSE/UNSE%202022%20Rate%20Case%20-Proposed/1%20-%20Proformas/Delayed%20Unitization%2009.09.22/Pro%20Forma%20Adjustment%20-%20Delayed%20Unitization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PLANTACC/Close/Fixed%20Asset%20Close/2021/Manual%20Entries/1.%20Jan/Retire%20T4%20Assets.%20Stranded%20reserve%20to%20be%20transferred%20to%20new%20T8%20Depr%20Group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sterfm.sharepoint.com/sites/FosterFMOffice/Clients/Tucson%20Electric%20Power/2022%20Study/TEP%202022%20Study%20Draft%202%20Statement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Mapping%20&amp;%20Documentation\UNSG\UNSG%20NSP%20&amp;%20Transport%20Detail%20TME%209-30-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CCTSVCS\Board%20Report\2001\Tep\Financial%20Statements\Income%20Statement\052001%20TEP%20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TACC\UPR\1999\UPR-698-Ol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FORT/Private/2017/Budget%20Monitoring/09%20Sep/MONTHLY%20Mgmt%20Review%202017%2009%20T&amp;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PLANTACC/Rate%20Case/UNSE/UNSE%202022%20Rate%20Case%20-Proposed/1%20-%20Proformas/Depr_Amort%20Exp%20Annualization%2009.22.22/Support%20not%20included/UNSE%202022%20Study%20(Draft%202)%20WOF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senergy-my.sharepoint.com/PLANTACC/Rate%20Case/TEP/ACC/TEP%202021/1-%20Proforma's/Rate%20Base%20-%20Post%20Test%20Year%20Plant/New/TYP%20Estimate%20As%20of%2003-2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Req Notes"/>
      <sheetName val="Leland-Tran"/>
      <sheetName val="Rate Base"/>
      <sheetName val="Inc Stmt"/>
      <sheetName val="O&amp;M Allocations"/>
      <sheetName val="T&amp;D Rev"/>
      <sheetName val="Rev Sum"/>
      <sheetName val="Adj"/>
      <sheetName val="Depr Exp"/>
      <sheetName val="PR Tax %"/>
      <sheetName val="Work Cap"/>
      <sheetName val="Cash WC 1994"/>
      <sheetName val="COC 01"/>
      <sheetName val="COC 00"/>
      <sheetName val="Plant Sum"/>
      <sheetName val="Acc Dep Sum"/>
      <sheetName val="Plant"/>
      <sheetName val="DT Build"/>
      <sheetName val="Accum Depr"/>
      <sheetName val="Orig"/>
      <sheetName val="101Sum"/>
      <sheetName val="101AZ"/>
      <sheetName val="101NM"/>
      <sheetName val="1081"/>
      <sheetName val="108"/>
      <sheetName val="106"/>
      <sheetName val="Depr-106"/>
      <sheetName val="105"/>
      <sheetName val="114"/>
      <sheetName val="121"/>
      <sheetName val="1011"/>
      <sheetName val="Margins"/>
      <sheetName val="Flo-thru vs Normalized"/>
      <sheetName val="2000 Treasury Yield"/>
      <sheetName val="Cost of Capi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V"/>
      <sheetName val="Forecast Summary by Proj _Add"/>
      <sheetName val="Forecast by Asset Group_Add"/>
      <sheetName val="Forecast by Acct"/>
      <sheetName val="Forecast by Asset Group_by Acct"/>
      <sheetName val="Master"/>
      <sheetName val="Forecast_All Project De - Query"/>
      <sheetName val="PTY 5M+"/>
      <sheetName val="PTY 1M+"/>
      <sheetName val="Hide"/>
      <sheetName val="Pivot All"/>
      <sheetName val="Sheet2"/>
      <sheetName val="High Level Sum"/>
      <sheetName val="Forecast PT"/>
      <sheetName val="500k PT"/>
      <sheetName val="500k data"/>
      <sheetName val="Table"/>
      <sheetName val="Lookup"/>
      <sheetName val="Forecast by Tran Project_Add"/>
      <sheetName val="Forecast by Shared Svc_Add"/>
      <sheetName val="Sheet5"/>
      <sheetName val="Actuals PT"/>
      <sheetName val="Actuals Jan-F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Project Number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1"/>
      <sheetName val="F2"/>
      <sheetName val="F3"/>
      <sheetName val="F4"/>
      <sheetName val="Link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Cover"/>
      <sheetName val="Adjust Categories"/>
      <sheetName val="Adjust Sum"/>
      <sheetName val="Rate Base"/>
      <sheetName val="RB Adj Detail"/>
      <sheetName val="COS"/>
      <sheetName val="COS Adj Detail"/>
      <sheetName val="Energy Allocation"/>
      <sheetName val="Demand Allocation"/>
      <sheetName val="Working Capital"/>
      <sheetName val="Plant Detail"/>
      <sheetName val="Forecast "/>
      <sheetName val="Forecast (con't)"/>
      <sheetName val="Forecast Energy Sales"/>
      <sheetName val="Forecast Growth Rate"/>
      <sheetName val="Weather Normalized"/>
      <sheetName val="Report 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Summary Mar-10"/>
      <sheetName val="Macro1"/>
    </sheetNames>
    <sheetDataSet>
      <sheetData sheetId="0" refreshError="1"/>
      <sheetData sheetId="1">
        <row r="88">
          <cell r="A88" t="str">
            <v>Recover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A"/>
      <sheetName val="Statement B"/>
      <sheetName val="Statement C"/>
      <sheetName val="Statement D"/>
      <sheetName val="Summa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Search by Asset #"/>
      <sheetName val="Macro1"/>
      <sheetName val="Asset Search by System ID"/>
    </sheetNames>
    <sheetDataSet>
      <sheetData sheetId="0" refreshError="1"/>
      <sheetData sheetId="1">
        <row r="81">
          <cell r="A81" t="str">
            <v>Recover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Summary Mar-10"/>
      <sheetName val="Macro1"/>
    </sheetNames>
    <sheetDataSet>
      <sheetData sheetId="0" refreshError="1"/>
      <sheetData sheetId="1">
        <row r="88">
          <cell r="A88" t="str">
            <v>Recover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acro1"/>
    </sheetNames>
    <sheetDataSet>
      <sheetData sheetId="0"/>
      <sheetData sheetId="1">
        <row r="83">
          <cell r="A83" t="b">
            <v>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g Balance"/>
      <sheetName val="Macro1"/>
    </sheetNames>
    <sheetDataSet>
      <sheetData sheetId="0" refreshError="1"/>
      <sheetData sheetId="1">
        <row r="103">
          <cell r="A103" t="str">
            <v>Recover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5-01 BUILD OUT PIS AD"/>
      <sheetName val="A5-02 FORTIS PIS"/>
      <sheetName val="A5-11 FORTIS AD"/>
      <sheetName val="A5-03 GOLD VALL PIS AD"/>
      <sheetName val="A5-04 GRIFF PLANT PIS AD"/>
      <sheetName val="A5-05 SOUNI PIS AD"/>
      <sheetName val="A5-15 CZN ACQ AD"/>
      <sheetName val="Adjustment Detail"/>
    </sheetNames>
    <sheetDataSet>
      <sheetData sheetId="0"/>
      <sheetData sheetId="1">
        <row r="26">
          <cell r="F26">
            <v>43555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Settlement- A-Accrual Rates"/>
      <sheetName val="Settlement-B-Accruals"/>
      <sheetName val="Settlement-C -Reserves"/>
      <sheetName val="Settlement-D-Reserve Components"/>
      <sheetName val="Settlement - Adjustments"/>
      <sheetName val="Rebuttal-A-Accrual Rates"/>
      <sheetName val="Rebuttal-B-Accruals"/>
      <sheetName val="VGWL Rates"/>
      <sheetName val="VGWL Accruals"/>
      <sheetName val="Rebuttal-C-Reserves"/>
      <sheetName val="Rebuttal-D-Reserve Components"/>
      <sheetName val="Rebuttal-E-Avg Net Salvage"/>
      <sheetName val="Rebuttal-F-Fut. Net Sal."/>
      <sheetName val="Rebuttal-G-Dismantlement Costs"/>
      <sheetName val="Rebuttal-H-Parameters"/>
    </sheetNames>
    <sheetDataSet>
      <sheetData sheetId="0">
        <row r="3">
          <cell r="D3"/>
        </row>
        <row r="4">
          <cell r="D4"/>
        </row>
        <row r="6">
          <cell r="D6" t="str">
            <v>Plant Investment</v>
          </cell>
        </row>
        <row r="7">
          <cell r="D7">
            <v>42004</v>
          </cell>
        </row>
        <row r="8">
          <cell r="D8" t="str">
            <v>Plant Balance</v>
          </cell>
        </row>
        <row r="9">
          <cell r="D9" t="str">
            <v>B</v>
          </cell>
        </row>
        <row r="12">
          <cell r="D12">
            <v>5106662</v>
          </cell>
        </row>
        <row r="13">
          <cell r="D13">
            <v>205277689</v>
          </cell>
        </row>
        <row r="14">
          <cell r="D14">
            <v>1091953161</v>
          </cell>
        </row>
        <row r="15">
          <cell r="D15">
            <v>303041923</v>
          </cell>
        </row>
        <row r="16">
          <cell r="D16">
            <v>144581471</v>
          </cell>
        </row>
        <row r="17">
          <cell r="D17">
            <v>25222863</v>
          </cell>
        </row>
        <row r="18">
          <cell r="D18">
            <v>1775183769</v>
          </cell>
        </row>
        <row r="19">
          <cell r="D19"/>
        </row>
        <row r="22">
          <cell r="D22">
            <v>23403461</v>
          </cell>
        </row>
        <row r="23">
          <cell r="D23">
            <v>19977187</v>
          </cell>
        </row>
        <row r="24">
          <cell r="D24">
            <v>202005134</v>
          </cell>
        </row>
        <row r="25">
          <cell r="D25">
            <v>105487225</v>
          </cell>
        </row>
        <row r="26">
          <cell r="D26">
            <v>13809819</v>
          </cell>
        </row>
        <row r="27">
          <cell r="D27">
            <v>15307160</v>
          </cell>
        </row>
        <row r="28">
          <cell r="D28">
            <v>379989986</v>
          </cell>
        </row>
        <row r="29">
          <cell r="D29"/>
        </row>
        <row r="31">
          <cell r="D31">
            <v>170320932</v>
          </cell>
        </row>
        <row r="32">
          <cell r="D32">
            <v>170320932</v>
          </cell>
        </row>
        <row r="33">
          <cell r="D33"/>
        </row>
        <row r="34">
          <cell r="D34">
            <v>550310918</v>
          </cell>
        </row>
        <row r="36">
          <cell r="D36"/>
        </row>
        <row r="37">
          <cell r="D37">
            <v>7865073</v>
          </cell>
          <cell r="S37" t="str">
            <v>360RW</v>
          </cell>
        </row>
        <row r="38">
          <cell r="D38">
            <v>11402474</v>
          </cell>
          <cell r="S38" t="str">
            <v>36100</v>
          </cell>
        </row>
        <row r="39">
          <cell r="D39">
            <v>157067530</v>
          </cell>
          <cell r="S39" t="str">
            <v>36200</v>
          </cell>
        </row>
        <row r="40">
          <cell r="D40">
            <v>222006967</v>
          </cell>
          <cell r="S40" t="str">
            <v>36400</v>
          </cell>
        </row>
        <row r="41">
          <cell r="D41">
            <v>175675966</v>
          </cell>
          <cell r="S41" t="str">
            <v>36500</v>
          </cell>
        </row>
        <row r="42">
          <cell r="D42">
            <v>58725355</v>
          </cell>
          <cell r="S42" t="str">
            <v>36600</v>
          </cell>
        </row>
        <row r="43">
          <cell r="D43">
            <v>297183135</v>
          </cell>
          <cell r="S43" t="str">
            <v>36700</v>
          </cell>
        </row>
        <row r="44">
          <cell r="D44">
            <v>103657922</v>
          </cell>
          <cell r="S44" t="str">
            <v>368OH</v>
          </cell>
        </row>
        <row r="45">
          <cell r="D45">
            <v>172890932</v>
          </cell>
          <cell r="S45" t="str">
            <v>368UG</v>
          </cell>
        </row>
        <row r="46">
          <cell r="D46">
            <v>17542236</v>
          </cell>
          <cell r="S46" t="str">
            <v>369OH</v>
          </cell>
        </row>
        <row r="47">
          <cell r="D47">
            <v>112947714</v>
          </cell>
          <cell r="S47" t="str">
            <v>369UG</v>
          </cell>
        </row>
        <row r="48">
          <cell r="D48">
            <v>44869823</v>
          </cell>
          <cell r="S48" t="str">
            <v>37000</v>
          </cell>
        </row>
        <row r="49">
          <cell r="D49">
            <v>11778362</v>
          </cell>
          <cell r="S49" t="str">
            <v>37300</v>
          </cell>
        </row>
        <row r="50">
          <cell r="D50">
            <v>1393613489</v>
          </cell>
        </row>
        <row r="51">
          <cell r="D51"/>
        </row>
        <row r="52">
          <cell r="D52"/>
        </row>
        <row r="53">
          <cell r="D53"/>
        </row>
        <row r="54">
          <cell r="D54">
            <v>135680348</v>
          </cell>
          <cell r="S54" t="str">
            <v>39000</v>
          </cell>
        </row>
        <row r="55">
          <cell r="D55">
            <v>1238946</v>
          </cell>
          <cell r="S55" t="str">
            <v>392C0</v>
          </cell>
        </row>
        <row r="56">
          <cell r="D56">
            <v>7718183</v>
          </cell>
          <cell r="S56" t="str">
            <v>392C1</v>
          </cell>
        </row>
        <row r="57">
          <cell r="D57">
            <v>3839907</v>
          </cell>
          <cell r="S57" t="str">
            <v>392C2</v>
          </cell>
        </row>
        <row r="58">
          <cell r="D58">
            <v>2076936</v>
          </cell>
          <cell r="S58" t="str">
            <v>392C3</v>
          </cell>
        </row>
        <row r="59">
          <cell r="D59">
            <v>2935027</v>
          </cell>
          <cell r="S59" t="str">
            <v>392C4</v>
          </cell>
        </row>
        <row r="60">
          <cell r="D60">
            <v>7982715</v>
          </cell>
          <cell r="S60" t="str">
            <v>392C5</v>
          </cell>
        </row>
        <row r="61">
          <cell r="D61">
            <v>365200</v>
          </cell>
          <cell r="S61" t="str">
            <v>392C6</v>
          </cell>
        </row>
        <row r="62">
          <cell r="D62">
            <v>1047216</v>
          </cell>
          <cell r="S62" t="str">
            <v>392C7</v>
          </cell>
        </row>
        <row r="63">
          <cell r="D63">
            <v>9957500</v>
          </cell>
          <cell r="S63" t="str">
            <v>392C8</v>
          </cell>
        </row>
        <row r="64">
          <cell r="D64">
            <v>4252286</v>
          </cell>
          <cell r="S64" t="str">
            <v>392C9</v>
          </cell>
        </row>
        <row r="65">
          <cell r="D65">
            <v>11860940</v>
          </cell>
          <cell r="S65" t="str">
            <v>39600</v>
          </cell>
        </row>
        <row r="66">
          <cell r="D66">
            <v>11304371</v>
          </cell>
          <cell r="S66" t="str">
            <v>397EM</v>
          </cell>
        </row>
        <row r="67">
          <cell r="D67">
            <v>200259575</v>
          </cell>
        </row>
        <row r="69">
          <cell r="D69"/>
        </row>
        <row r="70">
          <cell r="D70">
            <v>23964411</v>
          </cell>
          <cell r="S70" t="str">
            <v>39100</v>
          </cell>
        </row>
        <row r="71">
          <cell r="D71">
            <v>29359636</v>
          </cell>
          <cell r="S71" t="str">
            <v>39120</v>
          </cell>
        </row>
        <row r="72">
          <cell r="D72">
            <v>1852479</v>
          </cell>
          <cell r="S72" t="str">
            <v>39300</v>
          </cell>
        </row>
        <row r="73">
          <cell r="D73">
            <v>6934368</v>
          </cell>
          <cell r="S73" t="str">
            <v>39400</v>
          </cell>
        </row>
        <row r="74">
          <cell r="D74">
            <v>5091270</v>
          </cell>
          <cell r="S74" t="str">
            <v>39500</v>
          </cell>
        </row>
        <row r="75">
          <cell r="D75">
            <v>57456141</v>
          </cell>
          <cell r="S75" t="str">
            <v>39720</v>
          </cell>
        </row>
        <row r="76">
          <cell r="D76">
            <v>4348209</v>
          </cell>
          <cell r="S76" t="str">
            <v>39800</v>
          </cell>
        </row>
        <row r="77">
          <cell r="D77">
            <v>129006514</v>
          </cell>
        </row>
        <row r="78">
          <cell r="D78"/>
        </row>
        <row r="79">
          <cell r="D79">
            <v>329266089</v>
          </cell>
        </row>
        <row r="80">
          <cell r="D80"/>
        </row>
        <row r="81">
          <cell r="D81">
            <v>4048374265</v>
          </cell>
        </row>
        <row r="82">
          <cell r="D82"/>
        </row>
        <row r="83">
          <cell r="D83"/>
        </row>
        <row r="84">
          <cell r="D84">
            <v>1393613489</v>
          </cell>
          <cell r="S84" t="str">
            <v>10802</v>
          </cell>
        </row>
        <row r="85">
          <cell r="D85">
            <v>1393613489</v>
          </cell>
        </row>
        <row r="86">
          <cell r="D86"/>
        </row>
        <row r="87">
          <cell r="D87">
            <v>4048374265</v>
          </cell>
        </row>
        <row r="88">
          <cell r="D88"/>
        </row>
        <row r="89">
          <cell r="D89"/>
        </row>
        <row r="91">
          <cell r="D91">
            <v>0</v>
          </cell>
          <cell r="S91"/>
        </row>
        <row r="92">
          <cell r="D92">
            <v>2982777</v>
          </cell>
          <cell r="S92"/>
        </row>
        <row r="93">
          <cell r="D93">
            <v>76402061</v>
          </cell>
          <cell r="S93"/>
        </row>
        <row r="94">
          <cell r="D94">
            <v>12359480</v>
          </cell>
          <cell r="S94"/>
        </row>
        <row r="95">
          <cell r="D95">
            <v>4390980</v>
          </cell>
          <cell r="S95"/>
        </row>
        <row r="96">
          <cell r="D96">
            <v>3832234</v>
          </cell>
          <cell r="S96"/>
        </row>
        <row r="97">
          <cell r="D97">
            <v>99967532</v>
          </cell>
        </row>
        <row r="100">
          <cell r="D100">
            <v>0</v>
          </cell>
          <cell r="S100"/>
        </row>
        <row r="101">
          <cell r="D101">
            <v>1524414</v>
          </cell>
          <cell r="S101" t="str">
            <v>31100FCN004</v>
          </cell>
        </row>
        <row r="102">
          <cell r="D102">
            <v>39609538</v>
          </cell>
          <cell r="S102" t="str">
            <v>31200FCN004</v>
          </cell>
        </row>
        <row r="103">
          <cell r="D103">
            <v>7179362</v>
          </cell>
          <cell r="S103" t="str">
            <v>31400FCN004</v>
          </cell>
        </row>
        <row r="104">
          <cell r="D104">
            <v>2274836</v>
          </cell>
          <cell r="S104" t="str">
            <v>31500FCN004</v>
          </cell>
        </row>
        <row r="105">
          <cell r="D105">
            <v>1929161</v>
          </cell>
          <cell r="S105" t="str">
            <v>31600FCN004</v>
          </cell>
        </row>
        <row r="106">
          <cell r="D106">
            <v>52517311</v>
          </cell>
        </row>
        <row r="109">
          <cell r="D109">
            <v>0</v>
          </cell>
          <cell r="S109"/>
        </row>
        <row r="110">
          <cell r="D110">
            <v>1458363</v>
          </cell>
          <cell r="S110" t="str">
            <v>31100FCN005</v>
          </cell>
        </row>
        <row r="111">
          <cell r="D111">
            <v>36792523</v>
          </cell>
          <cell r="S111" t="str">
            <v>31200FCN005</v>
          </cell>
        </row>
        <row r="112">
          <cell r="D112">
            <v>5180118</v>
          </cell>
          <cell r="S112" t="str">
            <v>31400FCN005</v>
          </cell>
        </row>
        <row r="113">
          <cell r="D113">
            <v>2116144</v>
          </cell>
          <cell r="S113" t="str">
            <v>31500FCN005</v>
          </cell>
        </row>
        <row r="114">
          <cell r="D114">
            <v>1903073</v>
          </cell>
          <cell r="S114" t="str">
            <v>31600FCN005</v>
          </cell>
        </row>
        <row r="115">
          <cell r="D115">
            <v>47450221</v>
          </cell>
        </row>
        <row r="116">
          <cell r="D116"/>
        </row>
        <row r="118">
          <cell r="D118">
            <v>12229</v>
          </cell>
          <cell r="S118"/>
        </row>
        <row r="119">
          <cell r="D119">
            <v>18655156</v>
          </cell>
          <cell r="S119"/>
        </row>
        <row r="120">
          <cell r="D120">
            <v>88544201</v>
          </cell>
          <cell r="S120"/>
        </row>
        <row r="121">
          <cell r="D121">
            <v>20255526</v>
          </cell>
          <cell r="S121"/>
        </row>
        <row r="122">
          <cell r="D122">
            <v>14829858</v>
          </cell>
          <cell r="S122"/>
        </row>
        <row r="123">
          <cell r="D123">
            <v>4518597</v>
          </cell>
          <cell r="S123"/>
        </row>
        <row r="124">
          <cell r="D124">
            <v>146815567</v>
          </cell>
        </row>
        <row r="127">
          <cell r="D127">
            <v>0</v>
          </cell>
          <cell r="S127"/>
        </row>
        <row r="128">
          <cell r="D128">
            <v>3190563</v>
          </cell>
          <cell r="S128" t="str">
            <v>31100NAV001</v>
          </cell>
        </row>
        <row r="129">
          <cell r="D129">
            <v>27198582</v>
          </cell>
          <cell r="S129" t="str">
            <v>31200NAV001</v>
          </cell>
        </row>
        <row r="130">
          <cell r="D130">
            <v>6860989</v>
          </cell>
          <cell r="S130" t="str">
            <v>31400NAV001</v>
          </cell>
        </row>
        <row r="131">
          <cell r="D131">
            <v>3544300</v>
          </cell>
          <cell r="S131" t="str">
            <v>31500NAV001</v>
          </cell>
        </row>
        <row r="132">
          <cell r="D132">
            <v>471227</v>
          </cell>
          <cell r="S132" t="str">
            <v>31600NAV001</v>
          </cell>
        </row>
        <row r="133">
          <cell r="D133">
            <v>41265661</v>
          </cell>
        </row>
        <row r="136">
          <cell r="D136">
            <v>0</v>
          </cell>
          <cell r="S136"/>
        </row>
        <row r="137">
          <cell r="D137">
            <v>1802685</v>
          </cell>
          <cell r="S137" t="str">
            <v>31100NAV002</v>
          </cell>
        </row>
        <row r="138">
          <cell r="D138">
            <v>26882286</v>
          </cell>
          <cell r="S138" t="str">
            <v>31200NAV002</v>
          </cell>
        </row>
        <row r="139">
          <cell r="D139">
            <v>6926050</v>
          </cell>
          <cell r="S139" t="str">
            <v>31400NAV002</v>
          </cell>
        </row>
        <row r="140">
          <cell r="D140">
            <v>3172330</v>
          </cell>
          <cell r="S140" t="str">
            <v>31500NAV002</v>
          </cell>
        </row>
        <row r="141">
          <cell r="D141">
            <v>515874</v>
          </cell>
          <cell r="S141" t="str">
            <v>31600NAV002</v>
          </cell>
        </row>
        <row r="142">
          <cell r="D142">
            <v>39299225</v>
          </cell>
        </row>
        <row r="145">
          <cell r="D145">
            <v>0</v>
          </cell>
          <cell r="S145"/>
        </row>
        <row r="146">
          <cell r="D146">
            <v>3681511</v>
          </cell>
          <cell r="S146" t="str">
            <v>31100NAV003</v>
          </cell>
        </row>
        <row r="147">
          <cell r="D147">
            <v>27718514</v>
          </cell>
          <cell r="S147" t="str">
            <v>31200NAV003</v>
          </cell>
        </row>
        <row r="148">
          <cell r="D148">
            <v>6178944</v>
          </cell>
          <cell r="S148" t="str">
            <v>31400NAV003</v>
          </cell>
        </row>
        <row r="149">
          <cell r="D149">
            <v>5139872</v>
          </cell>
          <cell r="S149" t="str">
            <v>31500NAV003</v>
          </cell>
        </row>
        <row r="150">
          <cell r="D150">
            <v>549362</v>
          </cell>
          <cell r="S150" t="str">
            <v>31600NAV003</v>
          </cell>
        </row>
        <row r="151">
          <cell r="D151">
            <v>43268203</v>
          </cell>
        </row>
        <row r="154">
          <cell r="D154">
            <v>12229</v>
          </cell>
          <cell r="S154" t="str">
            <v>310RWNAVCM0</v>
          </cell>
        </row>
        <row r="155">
          <cell r="D155">
            <v>9980397</v>
          </cell>
          <cell r="S155" t="str">
            <v>31100NAVCM0</v>
          </cell>
        </row>
        <row r="156">
          <cell r="D156">
            <v>6744819</v>
          </cell>
          <cell r="S156" t="str">
            <v>31200NAVCM0</v>
          </cell>
        </row>
        <row r="157">
          <cell r="D157">
            <v>289543</v>
          </cell>
          <cell r="S157" t="str">
            <v>31400NAVCM0</v>
          </cell>
        </row>
        <row r="158">
          <cell r="D158">
            <v>2973356</v>
          </cell>
          <cell r="S158" t="str">
            <v>31500NAVCM0</v>
          </cell>
        </row>
        <row r="159">
          <cell r="D159">
            <v>2982134</v>
          </cell>
          <cell r="S159" t="str">
            <v>31600NAVCM0</v>
          </cell>
        </row>
        <row r="160">
          <cell r="D160">
            <v>22982478</v>
          </cell>
        </row>
        <row r="161">
          <cell r="D161"/>
        </row>
        <row r="163">
          <cell r="D163">
            <v>0</v>
          </cell>
          <cell r="S163"/>
        </row>
        <row r="164">
          <cell r="D164">
            <v>14437744</v>
          </cell>
          <cell r="S164"/>
        </row>
        <row r="165">
          <cell r="D165">
            <v>154506908</v>
          </cell>
          <cell r="S165"/>
        </row>
        <row r="166">
          <cell r="D166">
            <v>44295673</v>
          </cell>
          <cell r="S166"/>
        </row>
        <row r="167">
          <cell r="D167">
            <v>10063526</v>
          </cell>
          <cell r="S167"/>
        </row>
        <row r="168">
          <cell r="D168">
            <v>2009555</v>
          </cell>
          <cell r="S168"/>
        </row>
        <row r="169">
          <cell r="D169">
            <v>225313406</v>
          </cell>
        </row>
        <row r="172">
          <cell r="D172">
            <v>0</v>
          </cell>
          <cell r="S172"/>
        </row>
        <row r="173">
          <cell r="D173">
            <v>14268404</v>
          </cell>
          <cell r="S173" t="str">
            <v>31100SJN001</v>
          </cell>
        </row>
        <row r="174">
          <cell r="D174">
            <v>146453029</v>
          </cell>
          <cell r="S174" t="str">
            <v>31200SJN001</v>
          </cell>
        </row>
        <row r="175">
          <cell r="D175">
            <v>44295673</v>
          </cell>
          <cell r="S175" t="str">
            <v>31400SJN001</v>
          </cell>
        </row>
        <row r="176">
          <cell r="D176">
            <v>10063526</v>
          </cell>
          <cell r="S176" t="str">
            <v>31500SJN001</v>
          </cell>
        </row>
        <row r="177">
          <cell r="D177">
            <v>1960172</v>
          </cell>
          <cell r="S177" t="str">
            <v>31600SJN001</v>
          </cell>
        </row>
        <row r="178">
          <cell r="D178">
            <v>217040804</v>
          </cell>
        </row>
        <row r="181">
          <cell r="D181">
            <v>0</v>
          </cell>
          <cell r="S181"/>
        </row>
        <row r="182">
          <cell r="D182">
            <v>169340</v>
          </cell>
          <cell r="S182" t="str">
            <v>31100SJNCM0</v>
          </cell>
        </row>
        <row r="183">
          <cell r="D183">
            <v>8053879</v>
          </cell>
          <cell r="S183" t="str">
            <v>31200SJNCM0</v>
          </cell>
        </row>
        <row r="184">
          <cell r="D184">
            <v>0</v>
          </cell>
          <cell r="S184"/>
        </row>
        <row r="185">
          <cell r="D185">
            <v>0</v>
          </cell>
          <cell r="S185"/>
        </row>
        <row r="186">
          <cell r="D186">
            <v>49383</v>
          </cell>
          <cell r="S186" t="str">
            <v>31600SJNCM0</v>
          </cell>
        </row>
        <row r="187">
          <cell r="D187">
            <v>8272602</v>
          </cell>
        </row>
        <row r="190">
          <cell r="D190">
            <v>5094433</v>
          </cell>
          <cell r="S190"/>
        </row>
        <row r="191">
          <cell r="D191">
            <v>141726641</v>
          </cell>
          <cell r="S191"/>
        </row>
        <row r="192">
          <cell r="D192">
            <v>641687365</v>
          </cell>
          <cell r="S192"/>
        </row>
        <row r="193">
          <cell r="D193">
            <v>173649915</v>
          </cell>
          <cell r="S193"/>
        </row>
        <row r="194">
          <cell r="D194">
            <v>75864618</v>
          </cell>
          <cell r="S194"/>
        </row>
        <row r="195">
          <cell r="D195">
            <v>12528984</v>
          </cell>
          <cell r="S195"/>
        </row>
        <row r="196">
          <cell r="D196">
            <v>1050551956</v>
          </cell>
        </row>
        <row r="199">
          <cell r="D199">
            <v>0</v>
          </cell>
          <cell r="S199"/>
        </row>
        <row r="200">
          <cell r="D200">
            <v>20076015</v>
          </cell>
          <cell r="S200" t="str">
            <v>31100SPV001</v>
          </cell>
        </row>
        <row r="201">
          <cell r="D201">
            <v>185682490</v>
          </cell>
          <cell r="S201" t="str">
            <v>31200SPV001</v>
          </cell>
        </row>
        <row r="202">
          <cell r="D202">
            <v>49547312</v>
          </cell>
          <cell r="S202" t="str">
            <v>31400SPV001</v>
          </cell>
        </row>
        <row r="203">
          <cell r="D203">
            <v>21214167</v>
          </cell>
          <cell r="S203" t="str">
            <v>31500SPV001</v>
          </cell>
        </row>
        <row r="204">
          <cell r="D204">
            <v>3277742</v>
          </cell>
          <cell r="S204" t="str">
            <v>31600SPV001</v>
          </cell>
        </row>
        <row r="205">
          <cell r="D205">
            <v>279797726</v>
          </cell>
        </row>
        <row r="208">
          <cell r="D208">
            <v>1143496</v>
          </cell>
          <cell r="S208" t="str">
            <v>310RWSPV1CM</v>
          </cell>
        </row>
        <row r="209">
          <cell r="D209">
            <v>52492826</v>
          </cell>
          <cell r="S209" t="str">
            <v>31100SPV1CM</v>
          </cell>
        </row>
        <row r="210">
          <cell r="D210">
            <v>14854799</v>
          </cell>
          <cell r="S210" t="str">
            <v>31200SPV1CM</v>
          </cell>
        </row>
        <row r="211">
          <cell r="D211">
            <v>1264322</v>
          </cell>
          <cell r="S211" t="str">
            <v>31400SPV1CM</v>
          </cell>
        </row>
        <row r="212">
          <cell r="D212">
            <v>9627097</v>
          </cell>
          <cell r="S212" t="str">
            <v>31500SPV1CM</v>
          </cell>
        </row>
        <row r="213">
          <cell r="D213">
            <v>1959012</v>
          </cell>
          <cell r="S213" t="str">
            <v>31600SPV1CM</v>
          </cell>
        </row>
        <row r="214">
          <cell r="D214">
            <v>81341552</v>
          </cell>
        </row>
        <row r="217">
          <cell r="D217">
            <v>0</v>
          </cell>
          <cell r="S217"/>
        </row>
        <row r="218">
          <cell r="D218">
            <v>36540030</v>
          </cell>
          <cell r="S218" t="str">
            <v>31100SPV002</v>
          </cell>
        </row>
        <row r="219">
          <cell r="D219">
            <v>295922545</v>
          </cell>
          <cell r="S219" t="str">
            <v>31200SPV002</v>
          </cell>
        </row>
        <row r="220">
          <cell r="D220">
            <v>122055348</v>
          </cell>
          <cell r="S220" t="str">
            <v>31400SPV002</v>
          </cell>
        </row>
        <row r="221">
          <cell r="D221">
            <v>42346939</v>
          </cell>
          <cell r="S221" t="str">
            <v>31500SPV002</v>
          </cell>
        </row>
        <row r="222">
          <cell r="D222">
            <v>6624669</v>
          </cell>
          <cell r="S222" t="str">
            <v>31600SPV002</v>
          </cell>
        </row>
        <row r="223">
          <cell r="D223">
            <v>503489531</v>
          </cell>
        </row>
        <row r="226">
          <cell r="D226">
            <v>2280838</v>
          </cell>
          <cell r="S226" t="str">
            <v>310RWSPVLC2</v>
          </cell>
        </row>
        <row r="227">
          <cell r="D227">
            <v>32617770</v>
          </cell>
          <cell r="S227" t="str">
            <v>31100SPVLC2</v>
          </cell>
        </row>
        <row r="228">
          <cell r="D228">
            <v>6282729</v>
          </cell>
          <cell r="S228" t="str">
            <v>31200SPVLC2</v>
          </cell>
        </row>
        <row r="229">
          <cell r="D229">
            <v>782933</v>
          </cell>
          <cell r="S229" t="str">
            <v>31400SPVLC2</v>
          </cell>
        </row>
        <row r="230">
          <cell r="D230">
            <v>2676415</v>
          </cell>
          <cell r="S230" t="str">
            <v>31500SPVLC2</v>
          </cell>
        </row>
        <row r="231">
          <cell r="D231">
            <v>667561</v>
          </cell>
          <cell r="S231" t="str">
            <v>31600SPVLC2</v>
          </cell>
        </row>
        <row r="232">
          <cell r="D232">
            <v>45308246</v>
          </cell>
        </row>
        <row r="233">
          <cell r="D233"/>
        </row>
        <row r="235">
          <cell r="D235">
            <v>1670099</v>
          </cell>
          <cell r="S235" t="str">
            <v>310RWSPVCH0</v>
          </cell>
        </row>
        <row r="236">
          <cell r="D236">
            <v>0</v>
          </cell>
          <cell r="S236"/>
        </row>
        <row r="237">
          <cell r="D237">
            <v>138944802</v>
          </cell>
          <cell r="S237" t="str">
            <v>31200SPVCH0</v>
          </cell>
        </row>
        <row r="238">
          <cell r="D238">
            <v>0</v>
          </cell>
          <cell r="S238"/>
        </row>
        <row r="239">
          <cell r="D239">
            <v>0</v>
          </cell>
          <cell r="S239"/>
        </row>
        <row r="240">
          <cell r="D240">
            <v>0</v>
          </cell>
          <cell r="S240"/>
        </row>
        <row r="241">
          <cell r="D241">
            <v>140614901</v>
          </cell>
        </row>
        <row r="244">
          <cell r="D244">
            <v>0</v>
          </cell>
          <cell r="S244"/>
        </row>
        <row r="245">
          <cell r="D245">
            <v>27475371</v>
          </cell>
          <cell r="S245"/>
        </row>
        <row r="246">
          <cell r="D246">
            <v>130812626</v>
          </cell>
          <cell r="S246"/>
        </row>
        <row r="247">
          <cell r="D247">
            <v>52481329</v>
          </cell>
          <cell r="S247"/>
        </row>
        <row r="248">
          <cell r="D248">
            <v>39432489</v>
          </cell>
          <cell r="S248"/>
        </row>
        <row r="249">
          <cell r="D249">
            <v>2333493</v>
          </cell>
          <cell r="S249"/>
        </row>
        <row r="250">
          <cell r="D250">
            <v>252535308</v>
          </cell>
        </row>
        <row r="253">
          <cell r="D253">
            <v>0</v>
          </cell>
          <cell r="S253"/>
        </row>
        <row r="254">
          <cell r="D254">
            <v>3926062</v>
          </cell>
          <cell r="S254" t="str">
            <v>31100SNT001</v>
          </cell>
        </row>
        <row r="255">
          <cell r="D255">
            <v>13782181</v>
          </cell>
          <cell r="S255" t="str">
            <v>31200SNT001</v>
          </cell>
        </row>
        <row r="256">
          <cell r="D256">
            <v>10237507</v>
          </cell>
          <cell r="S256" t="str">
            <v>31400SNT001</v>
          </cell>
        </row>
        <row r="257">
          <cell r="D257">
            <v>6536315</v>
          </cell>
          <cell r="S257" t="str">
            <v>31500SNT001</v>
          </cell>
        </row>
        <row r="258">
          <cell r="D258">
            <v>490578</v>
          </cell>
          <cell r="S258" t="str">
            <v>31600SNT001</v>
          </cell>
        </row>
        <row r="259">
          <cell r="D259">
            <v>34972643</v>
          </cell>
        </row>
        <row r="262">
          <cell r="D262">
            <v>0</v>
          </cell>
          <cell r="S262"/>
        </row>
        <row r="263">
          <cell r="D263">
            <v>2812689</v>
          </cell>
          <cell r="S263" t="str">
            <v>31100SNT002</v>
          </cell>
        </row>
        <row r="264">
          <cell r="D264">
            <v>14371609</v>
          </cell>
          <cell r="S264" t="str">
            <v>31200SNT002</v>
          </cell>
        </row>
        <row r="265">
          <cell r="D265">
            <v>8451923</v>
          </cell>
          <cell r="S265" t="str">
            <v>31400SNT002</v>
          </cell>
        </row>
        <row r="266">
          <cell r="D266">
            <v>6205700</v>
          </cell>
          <cell r="S266" t="str">
            <v>31500SNT002</v>
          </cell>
        </row>
        <row r="267">
          <cell r="D267">
            <v>383824</v>
          </cell>
          <cell r="S267" t="str">
            <v>31600SNT002</v>
          </cell>
        </row>
        <row r="268">
          <cell r="D268">
            <v>32225745</v>
          </cell>
        </row>
        <row r="271">
          <cell r="D271">
            <v>0</v>
          </cell>
          <cell r="S271"/>
        </row>
        <row r="272">
          <cell r="D272">
            <v>2762012</v>
          </cell>
          <cell r="S272" t="str">
            <v>31100SNT003</v>
          </cell>
        </row>
        <row r="273">
          <cell r="D273">
            <v>11980831</v>
          </cell>
          <cell r="S273" t="str">
            <v>31200SNT003</v>
          </cell>
        </row>
        <row r="274">
          <cell r="D274">
            <v>14830615</v>
          </cell>
          <cell r="S274" t="str">
            <v>31400SNT003</v>
          </cell>
        </row>
        <row r="275">
          <cell r="D275">
            <v>6140139</v>
          </cell>
          <cell r="S275" t="str">
            <v>31500SNT003</v>
          </cell>
        </row>
        <row r="276">
          <cell r="D276">
            <v>404717</v>
          </cell>
          <cell r="S276" t="str">
            <v>31600SNT003</v>
          </cell>
        </row>
        <row r="277">
          <cell r="D277">
            <v>36118314</v>
          </cell>
        </row>
        <row r="280">
          <cell r="D280">
            <v>0</v>
          </cell>
          <cell r="S280"/>
        </row>
        <row r="281">
          <cell r="D281">
            <v>17974608</v>
          </cell>
          <cell r="S281" t="str">
            <v>31100SNT004</v>
          </cell>
        </row>
        <row r="282">
          <cell r="D282">
            <v>80576055</v>
          </cell>
          <cell r="S282" t="str">
            <v>31200SNT004</v>
          </cell>
        </row>
        <row r="283">
          <cell r="D283">
            <v>18961284</v>
          </cell>
          <cell r="S283" t="str">
            <v>31400SNT004</v>
          </cell>
        </row>
        <row r="284">
          <cell r="D284">
            <v>20550335</v>
          </cell>
          <cell r="S284" t="str">
            <v>31500SNT004</v>
          </cell>
        </row>
        <row r="285">
          <cell r="D285">
            <v>1054374</v>
          </cell>
          <cell r="S285" t="str">
            <v>31600SNT004</v>
          </cell>
        </row>
        <row r="286">
          <cell r="D286">
            <v>139116656</v>
          </cell>
        </row>
        <row r="287">
          <cell r="D287"/>
        </row>
        <row r="288">
          <cell r="D288"/>
        </row>
        <row r="290">
          <cell r="D290">
            <v>0</v>
          </cell>
          <cell r="S290"/>
        </row>
        <row r="291">
          <cell r="D291">
            <v>0</v>
          </cell>
          <cell r="S291"/>
        </row>
        <row r="292">
          <cell r="D292">
            <v>10101950</v>
          </cell>
          <cell r="S292" t="str">
            <v>31200SNTARV</v>
          </cell>
        </row>
        <row r="293">
          <cell r="D293">
            <v>0</v>
          </cell>
          <cell r="S293"/>
        </row>
        <row r="294">
          <cell r="D294">
            <v>0</v>
          </cell>
          <cell r="S294"/>
        </row>
        <row r="295">
          <cell r="D295">
            <v>0</v>
          </cell>
          <cell r="S295"/>
        </row>
        <row r="296">
          <cell r="D296">
            <v>10101950</v>
          </cell>
        </row>
        <row r="298">
          <cell r="D298"/>
        </row>
        <row r="299">
          <cell r="D299"/>
        </row>
        <row r="300">
          <cell r="D300">
            <v>761988</v>
          </cell>
          <cell r="S300" t="str">
            <v>34100DMG001</v>
          </cell>
        </row>
        <row r="301">
          <cell r="D301">
            <v>750386</v>
          </cell>
          <cell r="S301" t="str">
            <v>34200DMG001</v>
          </cell>
        </row>
        <row r="302">
          <cell r="D302">
            <v>76766</v>
          </cell>
          <cell r="S302" t="str">
            <v>34300DMG001</v>
          </cell>
        </row>
        <row r="303">
          <cell r="D303">
            <v>30772866</v>
          </cell>
          <cell r="S303" t="str">
            <v>34400DMG001</v>
          </cell>
        </row>
        <row r="304">
          <cell r="D304">
            <v>861492</v>
          </cell>
          <cell r="S304" t="str">
            <v>34500DMG001</v>
          </cell>
        </row>
        <row r="305">
          <cell r="D305">
            <v>376605</v>
          </cell>
          <cell r="S305" t="str">
            <v>34600DMG001</v>
          </cell>
        </row>
        <row r="306">
          <cell r="D306">
            <v>33600103</v>
          </cell>
        </row>
        <row r="307">
          <cell r="D307"/>
        </row>
        <row r="308">
          <cell r="D308"/>
        </row>
        <row r="309">
          <cell r="D309">
            <v>8508950</v>
          </cell>
          <cell r="S309"/>
        </row>
        <row r="310">
          <cell r="D310">
            <v>6783045</v>
          </cell>
          <cell r="S310"/>
        </row>
        <row r="311">
          <cell r="D311">
            <v>188744730</v>
          </cell>
          <cell r="S311"/>
        </row>
        <row r="312">
          <cell r="D312">
            <v>32783434</v>
          </cell>
          <cell r="S312"/>
        </row>
        <row r="313">
          <cell r="D313">
            <v>9030698</v>
          </cell>
          <cell r="S313"/>
        </row>
        <row r="314">
          <cell r="D314">
            <v>6799960</v>
          </cell>
          <cell r="S314"/>
        </row>
        <row r="315">
          <cell r="D315">
            <v>252650817</v>
          </cell>
        </row>
        <row r="316">
          <cell r="D316"/>
        </row>
        <row r="317">
          <cell r="D317"/>
        </row>
        <row r="318">
          <cell r="D318">
            <v>957417</v>
          </cell>
          <cell r="S318" t="str">
            <v>34100GIL003</v>
          </cell>
        </row>
        <row r="319">
          <cell r="D319">
            <v>178424</v>
          </cell>
          <cell r="S319" t="str">
            <v>34200GIL003</v>
          </cell>
        </row>
        <row r="320">
          <cell r="D320">
            <v>181571712</v>
          </cell>
          <cell r="S320" t="str">
            <v>34300GIL003</v>
          </cell>
        </row>
        <row r="321">
          <cell r="D321">
            <v>32783434</v>
          </cell>
          <cell r="S321" t="str">
            <v>34400GIL003</v>
          </cell>
        </row>
        <row r="322">
          <cell r="D322">
            <v>6860554</v>
          </cell>
          <cell r="S322" t="str">
            <v>34500GIL003</v>
          </cell>
        </row>
        <row r="323">
          <cell r="D323">
            <v>135558</v>
          </cell>
          <cell r="S323" t="str">
            <v>34600GIL003</v>
          </cell>
        </row>
        <row r="324">
          <cell r="D324">
            <v>222487099</v>
          </cell>
        </row>
        <row r="325">
          <cell r="D325"/>
        </row>
        <row r="326">
          <cell r="D326"/>
        </row>
        <row r="327">
          <cell r="D327">
            <v>7551533</v>
          </cell>
          <cell r="S327" t="str">
            <v>34100GILCM0</v>
          </cell>
        </row>
        <row r="328">
          <cell r="D328">
            <v>6604621</v>
          </cell>
          <cell r="S328" t="str">
            <v>34200GILCM0</v>
          </cell>
        </row>
        <row r="329">
          <cell r="D329">
            <v>7173018</v>
          </cell>
          <cell r="S329" t="str">
            <v>34300GILCM0</v>
          </cell>
        </row>
        <row r="330">
          <cell r="D330">
            <v>0</v>
          </cell>
          <cell r="S330"/>
        </row>
        <row r="331">
          <cell r="D331">
            <v>2170144</v>
          </cell>
          <cell r="S331" t="str">
            <v>34500GILCM0</v>
          </cell>
        </row>
        <row r="332">
          <cell r="D332">
            <v>6664402</v>
          </cell>
          <cell r="S332" t="str">
            <v>34600GILCM0</v>
          </cell>
        </row>
        <row r="333">
          <cell r="D333">
            <v>30163718</v>
          </cell>
        </row>
        <row r="334">
          <cell r="D334"/>
        </row>
        <row r="335">
          <cell r="D335"/>
        </row>
        <row r="336">
          <cell r="D336">
            <v>13232832</v>
          </cell>
          <cell r="S336" t="str">
            <v>34100LUN000</v>
          </cell>
        </row>
        <row r="337">
          <cell r="D337">
            <v>11352383</v>
          </cell>
          <cell r="S337" t="str">
            <v>34200LUN000</v>
          </cell>
        </row>
        <row r="338">
          <cell r="D338">
            <v>11151074</v>
          </cell>
          <cell r="S338" t="str">
            <v>34300LUN000</v>
          </cell>
        </row>
        <row r="339">
          <cell r="D339">
            <v>9486694</v>
          </cell>
          <cell r="S339" t="str">
            <v>34400LUN000</v>
          </cell>
        </row>
        <row r="340">
          <cell r="D340">
            <v>9647</v>
          </cell>
          <cell r="S340" t="str">
            <v>34500LUN000</v>
          </cell>
        </row>
        <row r="341">
          <cell r="D341">
            <v>7424592</v>
          </cell>
          <cell r="S341" t="str">
            <v>34600LUN000</v>
          </cell>
        </row>
        <row r="342">
          <cell r="D342">
            <v>52657222</v>
          </cell>
        </row>
        <row r="343">
          <cell r="D343"/>
        </row>
        <row r="344">
          <cell r="D344"/>
        </row>
        <row r="345">
          <cell r="D345">
            <v>888601</v>
          </cell>
          <cell r="S345"/>
        </row>
        <row r="346">
          <cell r="D346">
            <v>303037</v>
          </cell>
          <cell r="S346"/>
        </row>
        <row r="347">
          <cell r="D347">
            <v>1890946</v>
          </cell>
          <cell r="S347"/>
        </row>
        <row r="348">
          <cell r="D348">
            <v>24062187</v>
          </cell>
          <cell r="S348"/>
        </row>
        <row r="349">
          <cell r="D349">
            <v>2829171</v>
          </cell>
          <cell r="S349"/>
        </row>
        <row r="350">
          <cell r="D350">
            <v>656253</v>
          </cell>
          <cell r="S350"/>
        </row>
        <row r="351">
          <cell r="D351">
            <v>30630195</v>
          </cell>
        </row>
        <row r="352">
          <cell r="D352"/>
        </row>
        <row r="353">
          <cell r="D353"/>
        </row>
        <row r="354">
          <cell r="D354">
            <v>411070</v>
          </cell>
          <cell r="S354" t="str">
            <v>34100NLG001</v>
          </cell>
        </row>
        <row r="355">
          <cell r="D355">
            <v>0</v>
          </cell>
          <cell r="S355"/>
        </row>
        <row r="356">
          <cell r="D356">
            <v>678545</v>
          </cell>
          <cell r="S356" t="str">
            <v>34300NLG001</v>
          </cell>
        </row>
        <row r="357">
          <cell r="D357">
            <v>3582271</v>
          </cell>
          <cell r="S357" t="str">
            <v>34400NLG001</v>
          </cell>
        </row>
        <row r="358">
          <cell r="D358">
            <v>790955</v>
          </cell>
          <cell r="S358" t="str">
            <v>34500NLG001</v>
          </cell>
        </row>
        <row r="359">
          <cell r="D359">
            <v>306369</v>
          </cell>
          <cell r="S359" t="str">
            <v>34600NLG001</v>
          </cell>
        </row>
        <row r="360">
          <cell r="D360">
            <v>5769210</v>
          </cell>
        </row>
        <row r="361">
          <cell r="D361"/>
        </row>
        <row r="362">
          <cell r="D362"/>
        </row>
        <row r="363">
          <cell r="D363">
            <v>196078</v>
          </cell>
          <cell r="S363" t="str">
            <v>34100NLG002</v>
          </cell>
        </row>
        <row r="364">
          <cell r="D364">
            <v>0</v>
          </cell>
          <cell r="S364"/>
        </row>
        <row r="365">
          <cell r="D365">
            <v>263450</v>
          </cell>
          <cell r="S365" t="str">
            <v>34300NLG002</v>
          </cell>
        </row>
        <row r="366">
          <cell r="D366">
            <v>3239719</v>
          </cell>
          <cell r="S366" t="str">
            <v>34400NLG002</v>
          </cell>
        </row>
        <row r="367">
          <cell r="D367">
            <v>504895</v>
          </cell>
          <cell r="S367" t="str">
            <v>34500NLG002</v>
          </cell>
        </row>
        <row r="368">
          <cell r="D368">
            <v>128559</v>
          </cell>
          <cell r="S368" t="str">
            <v>34600NLG002</v>
          </cell>
        </row>
        <row r="369">
          <cell r="D369">
            <v>4332701</v>
          </cell>
        </row>
        <row r="370">
          <cell r="D370"/>
        </row>
        <row r="371">
          <cell r="D371"/>
        </row>
        <row r="372">
          <cell r="D372">
            <v>196078</v>
          </cell>
          <cell r="S372" t="str">
            <v>34100NLG003</v>
          </cell>
        </row>
        <row r="373">
          <cell r="D373">
            <v>0</v>
          </cell>
          <cell r="S373"/>
        </row>
        <row r="374">
          <cell r="D374">
            <v>948951</v>
          </cell>
          <cell r="S374" t="str">
            <v>34300NLG003</v>
          </cell>
        </row>
        <row r="375">
          <cell r="D375">
            <v>3030531</v>
          </cell>
          <cell r="S375" t="str">
            <v>34400NLG003</v>
          </cell>
        </row>
        <row r="376">
          <cell r="D376">
            <v>503907</v>
          </cell>
          <cell r="S376" t="str">
            <v>34500NLG003</v>
          </cell>
        </row>
        <row r="377">
          <cell r="D377">
            <v>128559</v>
          </cell>
          <cell r="S377" t="str">
            <v>34600NLG003</v>
          </cell>
        </row>
        <row r="378">
          <cell r="D378">
            <v>4808026</v>
          </cell>
        </row>
        <row r="379">
          <cell r="D379"/>
        </row>
        <row r="380">
          <cell r="D380"/>
        </row>
        <row r="381">
          <cell r="D381">
            <v>85375</v>
          </cell>
          <cell r="S381" t="str">
            <v>34100NLG004</v>
          </cell>
        </row>
        <row r="382">
          <cell r="D382">
            <v>303037</v>
          </cell>
          <cell r="S382" t="str">
            <v>34200NLG004</v>
          </cell>
        </row>
        <row r="383">
          <cell r="D383">
            <v>0</v>
          </cell>
          <cell r="S383"/>
        </row>
        <row r="384">
          <cell r="D384">
            <v>14209666</v>
          </cell>
          <cell r="S384" t="str">
            <v>34400NLG004</v>
          </cell>
        </row>
        <row r="385">
          <cell r="D385">
            <v>1029414</v>
          </cell>
          <cell r="S385" t="str">
            <v>34500NLG004</v>
          </cell>
        </row>
        <row r="386">
          <cell r="D386">
            <v>92766</v>
          </cell>
          <cell r="S386" t="str">
            <v>34600NLG004</v>
          </cell>
        </row>
        <row r="387">
          <cell r="D387">
            <v>15720258</v>
          </cell>
        </row>
        <row r="388">
          <cell r="D388"/>
        </row>
        <row r="389">
          <cell r="D389"/>
        </row>
        <row r="390">
          <cell r="D390">
            <v>1146081</v>
          </cell>
          <cell r="S390" t="str">
            <v>34400DMPSL0</v>
          </cell>
        </row>
        <row r="391">
          <cell r="D391">
            <v>36709538</v>
          </cell>
          <cell r="S391" t="str">
            <v>34400FTHSL0</v>
          </cell>
        </row>
        <row r="392">
          <cell r="D392">
            <v>303184</v>
          </cell>
          <cell r="S392" t="str">
            <v>34400HDQRFT</v>
          </cell>
        </row>
        <row r="393">
          <cell r="D393">
            <v>2594590</v>
          </cell>
          <cell r="S393" t="str">
            <v>34400OHQRFT</v>
          </cell>
        </row>
        <row r="394">
          <cell r="D394">
            <v>388459</v>
          </cell>
          <cell r="S394" t="str">
            <v>34400OHQTYD</v>
          </cell>
        </row>
        <row r="395">
          <cell r="D395">
            <v>19036520</v>
          </cell>
          <cell r="S395" t="str">
            <v>34400PRFSL0</v>
          </cell>
        </row>
        <row r="396">
          <cell r="D396">
            <v>28766605</v>
          </cell>
          <cell r="S396" t="str">
            <v>34400SPVS13</v>
          </cell>
        </row>
        <row r="397">
          <cell r="D397">
            <v>7873874</v>
          </cell>
          <cell r="S397" t="str">
            <v>34400SPVS04</v>
          </cell>
        </row>
        <row r="398">
          <cell r="D398">
            <v>87198</v>
          </cell>
          <cell r="S398" t="str">
            <v>34400TUCSOL</v>
          </cell>
        </row>
        <row r="399">
          <cell r="D399">
            <v>7723832</v>
          </cell>
          <cell r="S399" t="str">
            <v>34400UATSL1</v>
          </cell>
        </row>
        <row r="400">
          <cell r="D400">
            <v>19191952</v>
          </cell>
          <cell r="S400" t="str">
            <v>34400UATSL2</v>
          </cell>
        </row>
        <row r="401">
          <cell r="D401">
            <v>46499099</v>
          </cell>
          <cell r="S401" t="str">
            <v>34400WHTSL0</v>
          </cell>
        </row>
        <row r="402">
          <cell r="D402">
            <v>170320932</v>
          </cell>
        </row>
        <row r="403">
          <cell r="D403"/>
        </row>
        <row r="404">
          <cell r="D404"/>
        </row>
        <row r="405">
          <cell r="D405">
            <v>11090</v>
          </cell>
          <cell r="S405"/>
        </row>
        <row r="406">
          <cell r="D406">
            <v>788336</v>
          </cell>
          <cell r="S406"/>
        </row>
        <row r="407">
          <cell r="D407">
            <v>141618</v>
          </cell>
          <cell r="S407"/>
        </row>
        <row r="408">
          <cell r="D408">
            <v>8382044</v>
          </cell>
          <cell r="S408"/>
        </row>
        <row r="409">
          <cell r="D409">
            <v>1078811</v>
          </cell>
          <cell r="S409"/>
        </row>
        <row r="410">
          <cell r="D410">
            <v>49750</v>
          </cell>
          <cell r="S410"/>
        </row>
        <row r="411">
          <cell r="D411">
            <v>10451649</v>
          </cell>
        </row>
        <row r="412">
          <cell r="D412"/>
        </row>
        <row r="413">
          <cell r="D413"/>
        </row>
        <row r="414">
          <cell r="D414">
            <v>5545</v>
          </cell>
          <cell r="S414" t="str">
            <v>34100SNT001</v>
          </cell>
        </row>
        <row r="415">
          <cell r="D415">
            <v>394168</v>
          </cell>
          <cell r="S415" t="str">
            <v>34200SNT001</v>
          </cell>
        </row>
        <row r="416">
          <cell r="D416">
            <v>70809</v>
          </cell>
          <cell r="S416" t="str">
            <v>34300SNT001</v>
          </cell>
        </row>
        <row r="417">
          <cell r="D417">
            <v>4315668</v>
          </cell>
          <cell r="S417" t="str">
            <v>34400SNT001</v>
          </cell>
        </row>
        <row r="418">
          <cell r="D418">
            <v>516231</v>
          </cell>
          <cell r="S418" t="str">
            <v>34500SNT001</v>
          </cell>
        </row>
        <row r="419">
          <cell r="D419">
            <v>19906</v>
          </cell>
          <cell r="S419" t="str">
            <v>34600SNT001</v>
          </cell>
        </row>
        <row r="420">
          <cell r="D420">
            <v>5322327</v>
          </cell>
        </row>
        <row r="421">
          <cell r="D421"/>
        </row>
        <row r="422">
          <cell r="D422"/>
        </row>
        <row r="423">
          <cell r="D423">
            <v>5545</v>
          </cell>
          <cell r="S423" t="str">
            <v>34100SNT002</v>
          </cell>
        </row>
        <row r="424">
          <cell r="D424">
            <v>394168</v>
          </cell>
          <cell r="S424" t="str">
            <v>34200SNT002</v>
          </cell>
        </row>
        <row r="425">
          <cell r="D425">
            <v>70809</v>
          </cell>
          <cell r="S425" t="str">
            <v>34300SNT002</v>
          </cell>
        </row>
        <row r="426">
          <cell r="D426">
            <v>4066376</v>
          </cell>
          <cell r="S426" t="str">
            <v>34400SNT002</v>
          </cell>
        </row>
        <row r="427">
          <cell r="D427">
            <v>562580</v>
          </cell>
          <cell r="S427" t="str">
            <v>34500SNT002</v>
          </cell>
        </row>
        <row r="428">
          <cell r="D428">
            <v>29844</v>
          </cell>
          <cell r="S428" t="str">
            <v>34600SNT002</v>
          </cell>
        </row>
        <row r="429">
          <cell r="D429">
            <v>5129322</v>
          </cell>
        </row>
        <row r="430">
          <cell r="D430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P1"/>
        </row>
        <row r="2">
          <cell r="P2" t="str">
            <v xml:space="preserve">    </v>
          </cell>
        </row>
        <row r="7">
          <cell r="H7"/>
          <cell r="P7"/>
          <cell r="R7" t="str">
            <v>Reserve Components</v>
          </cell>
        </row>
        <row r="8">
          <cell r="H8" t="str">
            <v>Ratio</v>
          </cell>
          <cell r="P8" t="str">
            <v>Ratio</v>
          </cell>
          <cell r="R8" t="str">
            <v>Investment(RRi)</v>
          </cell>
        </row>
        <row r="9">
          <cell r="H9" t="str">
            <v>D=C/B</v>
          </cell>
          <cell r="P9" t="str">
            <v>H=G/B</v>
          </cell>
          <cell r="R9" t="str">
            <v>I</v>
          </cell>
        </row>
        <row r="12">
          <cell r="H12">
            <v>0.72340000000000004</v>
          </cell>
          <cell r="P12">
            <v>0.52010000000000001</v>
          </cell>
          <cell r="R12">
            <v>2655709.002325851</v>
          </cell>
        </row>
        <row r="13">
          <cell r="H13">
            <v>0.51329999999999998</v>
          </cell>
          <cell r="P13">
            <v>0.47339999999999999</v>
          </cell>
          <cell r="R13">
            <v>83393441.298493683</v>
          </cell>
        </row>
        <row r="14">
          <cell r="H14">
            <v>0.3947</v>
          </cell>
          <cell r="P14">
            <v>0.40849999999999997</v>
          </cell>
          <cell r="R14">
            <v>401996685.51787591</v>
          </cell>
        </row>
        <row r="15">
          <cell r="H15">
            <v>0.35899999999999999</v>
          </cell>
          <cell r="P15">
            <v>0.35639999999999999</v>
          </cell>
          <cell r="R15">
            <v>96270572.284608692</v>
          </cell>
        </row>
        <row r="16">
          <cell r="H16">
            <v>0.46529999999999999</v>
          </cell>
          <cell r="P16">
            <v>0.43130000000000002</v>
          </cell>
          <cell r="R16">
            <v>55601353.585718468</v>
          </cell>
        </row>
        <row r="17">
          <cell r="H17">
            <v>0.45419999999999999</v>
          </cell>
          <cell r="P17">
            <v>0.4481</v>
          </cell>
          <cell r="R17">
            <v>10435864.667000514</v>
          </cell>
        </row>
        <row r="18">
          <cell r="H18">
            <v>0.4098</v>
          </cell>
          <cell r="P18">
            <v>0.4098</v>
          </cell>
          <cell r="R18">
            <v>650353626.35602319</v>
          </cell>
        </row>
        <row r="19">
          <cell r="H19"/>
          <cell r="P19"/>
          <cell r="R19"/>
        </row>
        <row r="22">
          <cell r="H22">
            <v>0.193</v>
          </cell>
          <cell r="P22">
            <v>0.15579999999999999</v>
          </cell>
          <cell r="R22">
            <v>3397217.7007921427</v>
          </cell>
        </row>
        <row r="23">
          <cell r="H23">
            <v>0.1913</v>
          </cell>
          <cell r="P23">
            <v>0.1492</v>
          </cell>
          <cell r="R23">
            <v>2842156.3987287208</v>
          </cell>
        </row>
        <row r="24">
          <cell r="H24">
            <v>0.2271</v>
          </cell>
          <cell r="P24">
            <v>0.22739999999999999</v>
          </cell>
          <cell r="R24">
            <v>43832017.366934232</v>
          </cell>
        </row>
        <row r="25">
          <cell r="H25">
            <v>0.40310000000000001</v>
          </cell>
          <cell r="P25">
            <v>0.42270000000000002</v>
          </cell>
          <cell r="R25">
            <v>41976744.81675794</v>
          </cell>
        </row>
        <row r="26">
          <cell r="H26">
            <v>0.4108</v>
          </cell>
          <cell r="P26">
            <v>0.41289999999999999</v>
          </cell>
          <cell r="R26">
            <v>5340440.5123115974</v>
          </cell>
        </row>
        <row r="27">
          <cell r="H27">
            <v>0.21129999999999999</v>
          </cell>
          <cell r="P27">
            <v>0.18210000000000001</v>
          </cell>
          <cell r="R27">
            <v>2613980.4865604099</v>
          </cell>
        </row>
        <row r="28">
          <cell r="H28">
            <v>0.27800000000000002</v>
          </cell>
          <cell r="P28">
            <v>0.27800000000000002</v>
          </cell>
          <cell r="R28">
            <v>100002557.28208503</v>
          </cell>
        </row>
        <row r="29">
          <cell r="H29"/>
          <cell r="P29"/>
          <cell r="R29"/>
        </row>
        <row r="31">
          <cell r="H31">
            <v>0.15790000000000001</v>
          </cell>
          <cell r="P31">
            <v>0.15790000000000001</v>
          </cell>
          <cell r="R31">
            <v>25611745.047619045</v>
          </cell>
        </row>
        <row r="32">
          <cell r="H32">
            <v>0.15790000000000001</v>
          </cell>
          <cell r="P32">
            <v>0.15790000000000001</v>
          </cell>
          <cell r="R32">
            <v>25611745.047619045</v>
          </cell>
        </row>
        <row r="33">
          <cell r="H33"/>
          <cell r="P33"/>
          <cell r="R33"/>
        </row>
        <row r="34">
          <cell r="H34">
            <v>0.24079999999999999</v>
          </cell>
          <cell r="P34">
            <v>0.24079999999999999</v>
          </cell>
          <cell r="R34">
            <v>125614302.32970408</v>
          </cell>
        </row>
        <row r="37">
          <cell r="H37">
            <v>0.46850000000000003</v>
          </cell>
          <cell r="P37">
            <v>0.52600000000000002</v>
          </cell>
          <cell r="R37">
            <v>4136928.1944001168</v>
          </cell>
        </row>
        <row r="38">
          <cell r="H38">
            <v>0.21410000000000001</v>
          </cell>
          <cell r="P38">
            <v>0.23569999999999999</v>
          </cell>
          <cell r="R38">
            <v>2687254.8802270913</v>
          </cell>
        </row>
        <row r="39">
          <cell r="H39">
            <v>0.2853</v>
          </cell>
          <cell r="P39">
            <v>0.33979999999999999</v>
          </cell>
          <cell r="R39">
            <v>53377197.422947787</v>
          </cell>
        </row>
        <row r="40">
          <cell r="H40">
            <v>0.32240000000000002</v>
          </cell>
          <cell r="P40">
            <v>0.33810000000000001</v>
          </cell>
          <cell r="R40">
            <v>75070236.642741427</v>
          </cell>
        </row>
        <row r="41">
          <cell r="H41">
            <v>0.33800000000000002</v>
          </cell>
          <cell r="P41">
            <v>0.40410000000000001</v>
          </cell>
          <cell r="R41">
            <v>70985744.470640138</v>
          </cell>
        </row>
        <row r="42">
          <cell r="H42">
            <v>0.39379999999999998</v>
          </cell>
          <cell r="P42">
            <v>0.44340000000000002</v>
          </cell>
          <cell r="R42">
            <v>26039706.439555168</v>
          </cell>
        </row>
        <row r="43">
          <cell r="H43">
            <v>0.40179999999999999</v>
          </cell>
          <cell r="P43">
            <v>0.43280000000000002</v>
          </cell>
          <cell r="R43">
            <v>128609674.50704731</v>
          </cell>
        </row>
        <row r="44">
          <cell r="H44">
            <v>0.43890000000000001</v>
          </cell>
          <cell r="P44">
            <v>0.42620000000000002</v>
          </cell>
          <cell r="R44">
            <v>44177332.274300143</v>
          </cell>
        </row>
        <row r="45">
          <cell r="H45">
            <v>0.4118</v>
          </cell>
          <cell r="P45">
            <v>0.42359999999999998</v>
          </cell>
          <cell r="R45">
            <v>73239703.740593284</v>
          </cell>
        </row>
        <row r="46">
          <cell r="H46">
            <v>0.46360000000000001</v>
          </cell>
          <cell r="P46">
            <v>0.50639999999999996</v>
          </cell>
          <cell r="R46">
            <v>8883477.2135893125</v>
          </cell>
        </row>
        <row r="47">
          <cell r="H47">
            <v>0.31</v>
          </cell>
          <cell r="P47">
            <v>0.3538</v>
          </cell>
          <cell r="R47">
            <v>39957605.381374739</v>
          </cell>
        </row>
        <row r="48">
          <cell r="H48">
            <v>-5.0000000000000001E-3</v>
          </cell>
          <cell r="P48">
            <v>0.26869999999999999</v>
          </cell>
          <cell r="R48">
            <v>12055347.503745504</v>
          </cell>
        </row>
        <row r="49">
          <cell r="H49">
            <v>0.41849999999999998</v>
          </cell>
          <cell r="P49">
            <v>0.47260000000000002</v>
          </cell>
          <cell r="R49">
            <v>5565950.2321432605</v>
          </cell>
        </row>
        <row r="50">
          <cell r="H50">
            <v>0.35089999999999999</v>
          </cell>
          <cell r="P50">
            <v>0.39090000000000003</v>
          </cell>
          <cell r="R50">
            <v>544786158.90330529</v>
          </cell>
        </row>
        <row r="54">
          <cell r="H54">
            <v>0.16320000000000001</v>
          </cell>
          <cell r="P54">
            <v>0.15989999999999999</v>
          </cell>
          <cell r="R54">
            <v>21570038.99119832</v>
          </cell>
        </row>
        <row r="55">
          <cell r="H55">
            <v>0.43380000000000002</v>
          </cell>
          <cell r="P55">
            <v>0.32629999999999998</v>
          </cell>
          <cell r="R55">
            <v>458247.74892102263</v>
          </cell>
        </row>
        <row r="56">
          <cell r="H56">
            <v>0.43669999999999998</v>
          </cell>
          <cell r="P56">
            <v>0.37509999999999999</v>
          </cell>
          <cell r="R56">
            <v>3304203.0949274804</v>
          </cell>
        </row>
        <row r="57">
          <cell r="H57">
            <v>0.38329999999999997</v>
          </cell>
          <cell r="P57">
            <v>0.36969999999999997</v>
          </cell>
          <cell r="R57">
            <v>1609293.5597961503</v>
          </cell>
        </row>
        <row r="58">
          <cell r="H58">
            <v>0.50090000000000001</v>
          </cell>
          <cell r="P58">
            <v>0.44379999999999997</v>
          </cell>
          <cell r="R58">
            <v>1052792.5403028303</v>
          </cell>
        </row>
        <row r="59">
          <cell r="H59">
            <v>0.255</v>
          </cell>
          <cell r="P59">
            <v>0.3579</v>
          </cell>
          <cell r="R59">
            <v>1180337.2351947918</v>
          </cell>
        </row>
        <row r="60">
          <cell r="H60">
            <v>0.34560000000000002</v>
          </cell>
          <cell r="P60">
            <v>0.379</v>
          </cell>
          <cell r="R60">
            <v>3474021.0024811523</v>
          </cell>
        </row>
        <row r="61">
          <cell r="H61">
            <v>0.1966</v>
          </cell>
          <cell r="P61">
            <v>0.18690000000000001</v>
          </cell>
          <cell r="R61">
            <v>80310.862840013986</v>
          </cell>
        </row>
        <row r="62">
          <cell r="H62">
            <v>0.41199999999999998</v>
          </cell>
          <cell r="P62">
            <v>0.33279999999999998</v>
          </cell>
          <cell r="R62">
            <v>410009.98536456784</v>
          </cell>
        </row>
        <row r="63">
          <cell r="H63">
            <v>0.33350000000000002</v>
          </cell>
          <cell r="P63">
            <v>0.30959999999999999</v>
          </cell>
          <cell r="R63">
            <v>3613292.196809364</v>
          </cell>
        </row>
        <row r="64">
          <cell r="H64">
            <v>0.37109999999999999</v>
          </cell>
          <cell r="P64">
            <v>0.25140000000000001</v>
          </cell>
          <cell r="R64">
            <v>1247811.9304373439</v>
          </cell>
        </row>
        <row r="65">
          <cell r="H65">
            <v>0.20549999999999999</v>
          </cell>
          <cell r="P65">
            <v>0.21079999999999999</v>
          </cell>
          <cell r="R65">
            <v>2412819.4043434225</v>
          </cell>
        </row>
        <row r="66">
          <cell r="H66">
            <v>0.2828</v>
          </cell>
          <cell r="P66">
            <v>0.27510000000000001</v>
          </cell>
          <cell r="R66">
            <v>3110220.808077754</v>
          </cell>
        </row>
        <row r="67">
          <cell r="H67">
            <v>0.2152</v>
          </cell>
          <cell r="P67">
            <v>0.2077</v>
          </cell>
          <cell r="R67">
            <v>43523399.360694215</v>
          </cell>
        </row>
        <row r="70">
          <cell r="H70">
            <v>0.3211</v>
          </cell>
          <cell r="P70">
            <v>0.32129999999999997</v>
          </cell>
          <cell r="R70">
            <v>7698753</v>
          </cell>
        </row>
        <row r="71">
          <cell r="H71">
            <v>0.50990000000000002</v>
          </cell>
          <cell r="P71">
            <v>0.50800000000000001</v>
          </cell>
          <cell r="R71">
            <v>14913970</v>
          </cell>
        </row>
        <row r="72">
          <cell r="H72">
            <v>0.44280000000000003</v>
          </cell>
          <cell r="P72">
            <v>0.4536</v>
          </cell>
          <cell r="R72">
            <v>840197</v>
          </cell>
        </row>
        <row r="73">
          <cell r="H73">
            <v>0.41249999999999998</v>
          </cell>
          <cell r="P73">
            <v>0.41220000000000001</v>
          </cell>
          <cell r="R73">
            <v>2858589</v>
          </cell>
        </row>
        <row r="74">
          <cell r="H74">
            <v>0.47049999999999997</v>
          </cell>
          <cell r="P74">
            <v>0.47060000000000002</v>
          </cell>
          <cell r="R74">
            <v>2395826</v>
          </cell>
        </row>
        <row r="75">
          <cell r="H75">
            <v>0.31530000000000002</v>
          </cell>
          <cell r="P75">
            <v>0.3422</v>
          </cell>
          <cell r="R75">
            <v>19662636</v>
          </cell>
        </row>
        <row r="76">
          <cell r="H76">
            <v>0.41830000000000001</v>
          </cell>
          <cell r="P76">
            <v>0.41749999999999998</v>
          </cell>
          <cell r="R76">
            <v>1815347</v>
          </cell>
        </row>
        <row r="77">
          <cell r="H77">
            <v>0.37730000000000002</v>
          </cell>
          <cell r="P77">
            <v>0.38900000000000001</v>
          </cell>
          <cell r="R77">
            <v>50185318</v>
          </cell>
        </row>
        <row r="78">
          <cell r="H78"/>
          <cell r="P78"/>
          <cell r="R78"/>
        </row>
        <row r="79">
          <cell r="H79">
            <v>0.2787</v>
          </cell>
          <cell r="P79">
            <v>0.2787</v>
          </cell>
          <cell r="R79">
            <v>93708717.360694215</v>
          </cell>
        </row>
        <row r="80">
          <cell r="H80"/>
          <cell r="P80"/>
          <cell r="R80"/>
        </row>
        <row r="81">
          <cell r="H81">
            <v>0.35589999999999999</v>
          </cell>
          <cell r="P81">
            <v>0.36969999999999997</v>
          </cell>
          <cell r="R81">
            <v>1414462804.9497266</v>
          </cell>
        </row>
        <row r="82">
          <cell r="H82"/>
          <cell r="P82"/>
          <cell r="R82"/>
        </row>
        <row r="84">
          <cell r="H84">
            <v>6.1600000000000002E-2</v>
          </cell>
          <cell r="P84">
            <v>2.1600000000000001E-2</v>
          </cell>
          <cell r="R84"/>
        </row>
        <row r="85">
          <cell r="H85">
            <v>6.1600000000000002E-2</v>
          </cell>
          <cell r="P85">
            <v>2.1600000000000001E-2</v>
          </cell>
          <cell r="R85">
            <v>0</v>
          </cell>
        </row>
        <row r="86">
          <cell r="H86"/>
          <cell r="P86"/>
          <cell r="R86"/>
        </row>
        <row r="87">
          <cell r="H87">
            <v>0.37709999999999999</v>
          </cell>
          <cell r="P87">
            <v>0.37709999999999999</v>
          </cell>
          <cell r="R87">
            <v>1414462804.9497266</v>
          </cell>
        </row>
        <row r="88">
          <cell r="H88"/>
          <cell r="P88"/>
          <cell r="R88"/>
        </row>
        <row r="89">
          <cell r="H89"/>
          <cell r="P89"/>
        </row>
        <row r="91">
          <cell r="H91">
            <v>0</v>
          </cell>
          <cell r="P91">
            <v>0</v>
          </cell>
          <cell r="R91">
            <v>0</v>
          </cell>
        </row>
        <row r="92">
          <cell r="H92">
            <v>0.6079</v>
          </cell>
          <cell r="P92">
            <v>0.64019999999999999</v>
          </cell>
          <cell r="R92">
            <v>1818284.0275682295</v>
          </cell>
        </row>
        <row r="93">
          <cell r="H93">
            <v>0.79430000000000001</v>
          </cell>
          <cell r="P93">
            <v>0.78990000000000005</v>
          </cell>
          <cell r="R93">
            <v>57866409.628440693</v>
          </cell>
        </row>
        <row r="94">
          <cell r="H94">
            <v>0.71250000000000002</v>
          </cell>
          <cell r="P94">
            <v>0.71440000000000003</v>
          </cell>
          <cell r="R94">
            <v>8375329.5447197985</v>
          </cell>
        </row>
        <row r="95">
          <cell r="H95">
            <v>0.32379999999999998</v>
          </cell>
          <cell r="P95">
            <v>0.37740000000000001</v>
          </cell>
          <cell r="R95">
            <v>1550168.3894635309</v>
          </cell>
        </row>
        <row r="96">
          <cell r="H96">
            <v>0.67169999999999996</v>
          </cell>
          <cell r="P96">
            <v>0.66749999999999998</v>
          </cell>
          <cell r="R96">
            <v>2439226.4740251843</v>
          </cell>
        </row>
        <row r="97">
          <cell r="H97">
            <v>0.75329999999999997</v>
          </cell>
          <cell r="P97">
            <v>0.75329999999999997</v>
          </cell>
          <cell r="R97">
            <v>72049418.064217433</v>
          </cell>
        </row>
        <row r="100">
          <cell r="H100">
            <v>0</v>
          </cell>
          <cell r="P100">
            <v>0</v>
          </cell>
          <cell r="R100">
            <v>0</v>
          </cell>
        </row>
        <row r="101">
          <cell r="H101">
            <v>0.62780000000000002</v>
          </cell>
          <cell r="P101">
            <v>0.65910000000000002</v>
          </cell>
          <cell r="R101">
            <v>959413.7717991058</v>
          </cell>
        </row>
        <row r="102">
          <cell r="H102">
            <v>0.81120000000000003</v>
          </cell>
          <cell r="P102">
            <v>0.80679999999999996</v>
          </cell>
          <cell r="R102">
            <v>30915436.130199805</v>
          </cell>
        </row>
        <row r="103">
          <cell r="H103">
            <v>0.7097</v>
          </cell>
          <cell r="P103">
            <v>0.71</v>
          </cell>
          <cell r="R103">
            <v>4836928.2768459069</v>
          </cell>
        </row>
        <row r="104">
          <cell r="H104">
            <v>0.34379999999999999</v>
          </cell>
          <cell r="P104">
            <v>0.40239999999999998</v>
          </cell>
          <cell r="R104">
            <v>852342.30285306845</v>
          </cell>
        </row>
        <row r="105">
          <cell r="H105">
            <v>0.69030000000000002</v>
          </cell>
          <cell r="P105">
            <v>0.68540000000000001</v>
          </cell>
          <cell r="R105">
            <v>1263646.1474611831</v>
          </cell>
        </row>
        <row r="106">
          <cell r="H106">
            <v>0.76729999999999998</v>
          </cell>
          <cell r="P106">
            <v>0.76729999999999998</v>
          </cell>
          <cell r="R106">
            <v>38827766.629159071</v>
          </cell>
        </row>
        <row r="109">
          <cell r="H109">
            <v>0</v>
          </cell>
          <cell r="P109">
            <v>0</v>
          </cell>
          <cell r="R109">
            <v>0</v>
          </cell>
        </row>
        <row r="110">
          <cell r="H110">
            <v>0.58699999999999997</v>
          </cell>
          <cell r="P110">
            <v>0.62039999999999995</v>
          </cell>
          <cell r="R110">
            <v>858870.25576912379</v>
          </cell>
        </row>
        <row r="111">
          <cell r="H111">
            <v>0.7762</v>
          </cell>
          <cell r="P111">
            <v>0.77170000000000005</v>
          </cell>
          <cell r="R111">
            <v>26950973.498240884</v>
          </cell>
        </row>
        <row r="112">
          <cell r="H112">
            <v>0.71640000000000004</v>
          </cell>
          <cell r="P112">
            <v>0.72050000000000003</v>
          </cell>
          <cell r="R112">
            <v>3538401.2678738916</v>
          </cell>
        </row>
        <row r="113">
          <cell r="H113">
            <v>0.3024</v>
          </cell>
          <cell r="P113">
            <v>0.35060000000000002</v>
          </cell>
          <cell r="R113">
            <v>697826.08661046252</v>
          </cell>
        </row>
        <row r="114">
          <cell r="H114">
            <v>0.65269999999999995</v>
          </cell>
          <cell r="P114">
            <v>0.64939999999999998</v>
          </cell>
          <cell r="R114">
            <v>1175580.3265640014</v>
          </cell>
        </row>
        <row r="115">
          <cell r="H115">
            <v>0.73780000000000001</v>
          </cell>
          <cell r="P115">
            <v>0.73780000000000001</v>
          </cell>
          <cell r="R115">
            <v>33221651.435058363</v>
          </cell>
        </row>
        <row r="116">
          <cell r="H116"/>
          <cell r="P116"/>
        </row>
        <row r="118">
          <cell r="H118">
            <v>1.0362</v>
          </cell>
          <cell r="P118">
            <v>0.93689999999999996</v>
          </cell>
          <cell r="R118">
            <v>10942.531099710179</v>
          </cell>
        </row>
        <row r="119">
          <cell r="H119">
            <v>0.74990000000000001</v>
          </cell>
          <cell r="P119">
            <v>0.72709999999999997</v>
          </cell>
          <cell r="R119">
            <v>12924170.873710101</v>
          </cell>
        </row>
        <row r="120">
          <cell r="H120">
            <v>0.7571</v>
          </cell>
          <cell r="P120">
            <v>0.7631</v>
          </cell>
          <cell r="R120">
            <v>64261410.187414154</v>
          </cell>
        </row>
        <row r="121">
          <cell r="H121">
            <v>0.79</v>
          </cell>
          <cell r="P121">
            <v>0.78259999999999996</v>
          </cell>
          <cell r="R121">
            <v>15090057.916202659</v>
          </cell>
        </row>
        <row r="122">
          <cell r="H122">
            <v>0.6593</v>
          </cell>
          <cell r="P122">
            <v>0.66469999999999996</v>
          </cell>
          <cell r="R122">
            <v>9396746.3231510278</v>
          </cell>
        </row>
        <row r="123">
          <cell r="H123">
            <v>0.65669999999999995</v>
          </cell>
          <cell r="P123">
            <v>0.64849999999999997</v>
          </cell>
          <cell r="R123">
            <v>2798421.4968867823</v>
          </cell>
        </row>
        <row r="124">
          <cell r="H124">
            <v>0.74780000000000002</v>
          </cell>
          <cell r="P124">
            <v>0.74780000000000002</v>
          </cell>
          <cell r="R124">
            <v>104481749.32846445</v>
          </cell>
        </row>
        <row r="127">
          <cell r="H127">
            <v>0</v>
          </cell>
          <cell r="P127">
            <v>0</v>
          </cell>
          <cell r="R127">
            <v>0</v>
          </cell>
        </row>
        <row r="128">
          <cell r="H128">
            <v>0.96579999999999999</v>
          </cell>
          <cell r="P128">
            <v>0.85640000000000005</v>
          </cell>
          <cell r="R128">
            <v>2607266.0492443554</v>
          </cell>
        </row>
        <row r="129">
          <cell r="H129">
            <v>0.74970000000000003</v>
          </cell>
          <cell r="P129">
            <v>0.76839999999999997</v>
          </cell>
          <cell r="R129">
            <v>19943242.921239737</v>
          </cell>
        </row>
        <row r="130">
          <cell r="H130">
            <v>0.78310000000000002</v>
          </cell>
          <cell r="P130">
            <v>0.76759999999999995</v>
          </cell>
          <cell r="R130">
            <v>5019771.6853264542</v>
          </cell>
        </row>
        <row r="131">
          <cell r="H131">
            <v>0.65329999999999999</v>
          </cell>
          <cell r="P131">
            <v>0.65280000000000005</v>
          </cell>
          <cell r="R131">
            <v>2205621.7043976905</v>
          </cell>
        </row>
        <row r="132">
          <cell r="H132">
            <v>0.97309999999999997</v>
          </cell>
          <cell r="P132">
            <v>0.86119999999999997</v>
          </cell>
          <cell r="R132">
            <v>387581.60866837663</v>
          </cell>
        </row>
        <row r="133">
          <cell r="H133">
            <v>0.76619999999999999</v>
          </cell>
          <cell r="P133">
            <v>0.76619999999999999</v>
          </cell>
          <cell r="R133">
            <v>30163483.968876611</v>
          </cell>
        </row>
        <row r="136">
          <cell r="H136">
            <v>0</v>
          </cell>
          <cell r="P136">
            <v>0</v>
          </cell>
          <cell r="R136">
            <v>0</v>
          </cell>
        </row>
        <row r="137">
          <cell r="H137">
            <v>0.84319999999999995</v>
          </cell>
          <cell r="P137">
            <v>0.83730000000000004</v>
          </cell>
          <cell r="R137">
            <v>1432988.7006436468</v>
          </cell>
        </row>
        <row r="138">
          <cell r="H138">
            <v>0.79359999999999997</v>
          </cell>
          <cell r="P138">
            <v>0.79330000000000001</v>
          </cell>
          <cell r="R138">
            <v>20203004.197545588</v>
          </cell>
        </row>
        <row r="139">
          <cell r="H139">
            <v>0.77210000000000001</v>
          </cell>
          <cell r="P139">
            <v>0.77229999999999999</v>
          </cell>
          <cell r="R139">
            <v>5080922.3535434185</v>
          </cell>
        </row>
        <row r="140">
          <cell r="H140">
            <v>0.72660000000000002</v>
          </cell>
          <cell r="P140">
            <v>0.73540000000000005</v>
          </cell>
          <cell r="R140">
            <v>2213988.5942367734</v>
          </cell>
        </row>
        <row r="141">
          <cell r="H141">
            <v>0.92769999999999997</v>
          </cell>
          <cell r="P141">
            <v>0.90759999999999996</v>
          </cell>
          <cell r="R141">
            <v>446110.54600262101</v>
          </cell>
        </row>
        <row r="142">
          <cell r="H142">
            <v>0.78849999999999998</v>
          </cell>
          <cell r="P142">
            <v>0.78849999999999998</v>
          </cell>
          <cell r="R142">
            <v>29377014.39197205</v>
          </cell>
        </row>
        <row r="145">
          <cell r="H145">
            <v>0</v>
          </cell>
          <cell r="P145">
            <v>0</v>
          </cell>
          <cell r="R145">
            <v>0</v>
          </cell>
        </row>
        <row r="146">
          <cell r="H146">
            <v>0.89349999999999996</v>
          </cell>
          <cell r="P146">
            <v>0.88070000000000004</v>
          </cell>
          <cell r="R146">
            <v>3095152.9089436624</v>
          </cell>
        </row>
        <row r="147">
          <cell r="H147">
            <v>0.7651</v>
          </cell>
          <cell r="P147">
            <v>0.76929999999999998</v>
          </cell>
          <cell r="R147">
            <v>20263914.679402195</v>
          </cell>
        </row>
        <row r="148">
          <cell r="H148">
            <v>0.84460000000000002</v>
          </cell>
          <cell r="P148">
            <v>0.83460000000000001</v>
          </cell>
          <cell r="R148">
            <v>4913912.8018835513</v>
          </cell>
        </row>
        <row r="149">
          <cell r="H149">
            <v>0.80510000000000004</v>
          </cell>
          <cell r="P149">
            <v>0.8054</v>
          </cell>
          <cell r="R149">
            <v>3963645.2623719447</v>
          </cell>
        </row>
        <row r="150">
          <cell r="H150">
            <v>0.9173</v>
          </cell>
          <cell r="P150">
            <v>0.90039999999999998</v>
          </cell>
          <cell r="R150">
            <v>475548.11715700082</v>
          </cell>
        </row>
        <row r="151">
          <cell r="H151">
            <v>0.79400000000000004</v>
          </cell>
          <cell r="P151">
            <v>0.79400000000000004</v>
          </cell>
          <cell r="R151">
            <v>32712173.769758355</v>
          </cell>
        </row>
        <row r="154">
          <cell r="H154">
            <v>1.0362</v>
          </cell>
          <cell r="P154">
            <v>0.93689999999999996</v>
          </cell>
          <cell r="R154">
            <v>10942.531099710179</v>
          </cell>
        </row>
        <row r="155">
          <cell r="H155">
            <v>0.61109999999999998</v>
          </cell>
          <cell r="P155">
            <v>0.60909999999999997</v>
          </cell>
          <cell r="R155">
            <v>5788763.2148784371</v>
          </cell>
        </row>
        <row r="156">
          <cell r="H156">
            <v>0.60840000000000005</v>
          </cell>
          <cell r="P156">
            <v>0.59619999999999995</v>
          </cell>
          <cell r="R156">
            <v>3851248.3892266368</v>
          </cell>
        </row>
        <row r="157">
          <cell r="H157">
            <v>0.22070000000000001</v>
          </cell>
          <cell r="P157">
            <v>0.27439999999999998</v>
          </cell>
          <cell r="R157">
            <v>75451.075449234006</v>
          </cell>
        </row>
        <row r="158">
          <cell r="H158">
            <v>0.34279999999999999</v>
          </cell>
          <cell r="P158">
            <v>0.3604</v>
          </cell>
          <cell r="R158">
            <v>1013490.7621446197</v>
          </cell>
        </row>
        <row r="159">
          <cell r="H159">
            <v>0.51190000000000002</v>
          </cell>
          <cell r="P159">
            <v>0.52359999999999995</v>
          </cell>
          <cell r="R159">
            <v>1489181.2250587838</v>
          </cell>
        </row>
        <row r="160">
          <cell r="H160">
            <v>0.55800000000000005</v>
          </cell>
          <cell r="P160">
            <v>0.55800000000000005</v>
          </cell>
          <cell r="R160">
            <v>12229077.197857421</v>
          </cell>
        </row>
        <row r="161">
          <cell r="H161"/>
          <cell r="P161"/>
          <cell r="R161"/>
        </row>
        <row r="163">
          <cell r="H163">
            <v>0</v>
          </cell>
          <cell r="P163">
            <v>0</v>
          </cell>
          <cell r="R163">
            <v>0</v>
          </cell>
        </row>
        <row r="164">
          <cell r="H164">
            <v>0.23810000000000001</v>
          </cell>
          <cell r="P164">
            <v>7.5499999999999998E-2</v>
          </cell>
          <cell r="R164">
            <v>1006420.0807290453</v>
          </cell>
        </row>
        <row r="165">
          <cell r="H165">
            <v>3.9199999999999999E-2</v>
          </cell>
          <cell r="P165">
            <v>6.7599999999999993E-2</v>
          </cell>
          <cell r="R165">
            <v>9578395.1395013798</v>
          </cell>
        </row>
        <row r="166">
          <cell r="H166">
            <v>0.1477</v>
          </cell>
          <cell r="P166">
            <v>7.51E-2</v>
          </cell>
          <cell r="R166">
            <v>3068981.8177644336</v>
          </cell>
        </row>
        <row r="167">
          <cell r="H167">
            <v>-1.32E-2</v>
          </cell>
          <cell r="P167">
            <v>6.8400000000000002E-2</v>
          </cell>
          <cell r="R167">
            <v>634266.90983467316</v>
          </cell>
        </row>
        <row r="168">
          <cell r="H168">
            <v>-0.10390000000000001</v>
          </cell>
          <cell r="P168">
            <v>7.0199999999999999E-2</v>
          </cell>
          <cell r="R168">
            <v>129810.61277810513</v>
          </cell>
        </row>
        <row r="169">
          <cell r="H169">
            <v>6.9699999999999998E-2</v>
          </cell>
          <cell r="P169">
            <v>6.9699999999999998E-2</v>
          </cell>
          <cell r="R169">
            <v>14417874.560607636</v>
          </cell>
        </row>
        <row r="172">
          <cell r="H172">
            <v>0</v>
          </cell>
          <cell r="P172">
            <v>0</v>
          </cell>
          <cell r="R172">
            <v>0</v>
          </cell>
        </row>
        <row r="173">
          <cell r="H173">
            <v>0.2409</v>
          </cell>
          <cell r="P173">
            <v>7.6399999999999996E-2</v>
          </cell>
          <cell r="R173">
            <v>1005631.6164933681</v>
          </cell>
        </row>
        <row r="174">
          <cell r="H174">
            <v>1.0200000000000001E-2</v>
          </cell>
          <cell r="P174">
            <v>6.7299999999999999E-2</v>
          </cell>
          <cell r="R174">
            <v>9179792.0906575155</v>
          </cell>
        </row>
        <row r="175">
          <cell r="H175">
            <v>0.1477</v>
          </cell>
          <cell r="P175">
            <v>7.51E-2</v>
          </cell>
          <cell r="R175">
            <v>3068981.8177644336</v>
          </cell>
        </row>
        <row r="176">
          <cell r="H176">
            <v>-1.32E-2</v>
          </cell>
          <cell r="P176">
            <v>6.8400000000000002E-2</v>
          </cell>
          <cell r="R176">
            <v>634266.90983467316</v>
          </cell>
        </row>
        <row r="177">
          <cell r="H177">
            <v>-0.1066</v>
          </cell>
          <cell r="P177">
            <v>7.1800000000000003E-2</v>
          </cell>
          <cell r="R177">
            <v>129580.68051549472</v>
          </cell>
        </row>
        <row r="178">
          <cell r="H178">
            <v>5.1299999999999998E-2</v>
          </cell>
          <cell r="P178">
            <v>6.9599999999999995E-2</v>
          </cell>
          <cell r="R178">
            <v>14018253.115265485</v>
          </cell>
        </row>
        <row r="181">
          <cell r="H181">
            <v>0</v>
          </cell>
          <cell r="P181">
            <v>0</v>
          </cell>
          <cell r="R181">
            <v>0</v>
          </cell>
        </row>
        <row r="182">
          <cell r="H182">
            <v>4.7000000000000002E-3</v>
          </cell>
          <cell r="P182">
            <v>4.7000000000000002E-3</v>
          </cell>
          <cell r="R182">
            <v>788.46423567721865</v>
          </cell>
        </row>
        <row r="183">
          <cell r="H183">
            <v>0.56579999999999997</v>
          </cell>
          <cell r="P183">
            <v>7.2700000000000001E-2</v>
          </cell>
          <cell r="R183">
            <v>398603.04884386488</v>
          </cell>
        </row>
        <row r="184">
          <cell r="H184">
            <v>0</v>
          </cell>
          <cell r="P184">
            <v>0</v>
          </cell>
          <cell r="R184">
            <v>0</v>
          </cell>
        </row>
        <row r="185">
          <cell r="H185">
            <v>0</v>
          </cell>
          <cell r="P185">
            <v>0</v>
          </cell>
          <cell r="R185">
            <v>0</v>
          </cell>
        </row>
        <row r="186">
          <cell r="H186">
            <v>5.3E-3</v>
          </cell>
          <cell r="P186">
            <v>4.7000000000000002E-3</v>
          </cell>
          <cell r="R186">
            <v>229.93226261041747</v>
          </cell>
        </row>
        <row r="187">
          <cell r="H187">
            <v>0.55100000000000005</v>
          </cell>
          <cell r="P187">
            <v>7.0900000000000005E-2</v>
          </cell>
          <cell r="R187">
            <v>399621.4453421525</v>
          </cell>
        </row>
        <row r="190">
          <cell r="H190">
            <v>0.72270000000000001</v>
          </cell>
          <cell r="P190">
            <v>0.51910000000000001</v>
          </cell>
          <cell r="R190">
            <v>2644766.4712261409</v>
          </cell>
        </row>
        <row r="191">
          <cell r="H191">
            <v>0.49220000000000003</v>
          </cell>
          <cell r="P191">
            <v>0.4798</v>
          </cell>
          <cell r="R191">
            <v>58069235.591408625</v>
          </cell>
        </row>
        <row r="192">
          <cell r="H192">
            <v>0.38269999999999998</v>
          </cell>
          <cell r="P192">
            <v>0.38279999999999997</v>
          </cell>
          <cell r="R192">
            <v>223625040.45174086</v>
          </cell>
        </row>
        <row r="193">
          <cell r="H193">
            <v>0.29070000000000001</v>
          </cell>
          <cell r="P193">
            <v>0.31490000000000001</v>
          </cell>
          <cell r="R193">
            <v>52916044.565704107</v>
          </cell>
        </row>
        <row r="194">
          <cell r="H194">
            <v>0.48549999999999999</v>
          </cell>
          <cell r="P194">
            <v>0.46870000000000001</v>
          </cell>
          <cell r="R194">
            <v>33501347.270527661</v>
          </cell>
        </row>
        <row r="195">
          <cell r="H195">
            <v>0.40339999999999998</v>
          </cell>
          <cell r="P195">
            <v>0.38679999999999998</v>
          </cell>
          <cell r="R195">
            <v>4496598.1384610357</v>
          </cell>
        </row>
        <row r="196">
          <cell r="H196">
            <v>0.3916</v>
          </cell>
          <cell r="P196">
            <v>0.3916</v>
          </cell>
          <cell r="R196">
            <v>375253032.48906845</v>
          </cell>
        </row>
        <row r="199">
          <cell r="H199">
            <v>0</v>
          </cell>
          <cell r="P199">
            <v>0</v>
          </cell>
          <cell r="R199">
            <v>0</v>
          </cell>
        </row>
        <row r="200">
          <cell r="H200">
            <v>0.43070000000000003</v>
          </cell>
          <cell r="P200">
            <v>0.42649999999999999</v>
          </cell>
          <cell r="R200">
            <v>8181475.3055452695</v>
          </cell>
        </row>
        <row r="201">
          <cell r="H201">
            <v>0.44400000000000001</v>
          </cell>
          <cell r="P201">
            <v>0.45219999999999999</v>
          </cell>
          <cell r="R201">
            <v>80313040.041451275</v>
          </cell>
        </row>
        <row r="202">
          <cell r="H202">
            <v>0.49890000000000001</v>
          </cell>
          <cell r="P202">
            <v>0.45579999999999998</v>
          </cell>
          <cell r="R202">
            <v>21608560.086646367</v>
          </cell>
        </row>
        <row r="203">
          <cell r="H203">
            <v>0.49159999999999998</v>
          </cell>
          <cell r="P203">
            <v>0.52649999999999997</v>
          </cell>
          <cell r="R203">
            <v>10788590.739421902</v>
          </cell>
        </row>
        <row r="204">
          <cell r="H204">
            <v>0.40960000000000002</v>
          </cell>
          <cell r="P204">
            <v>0.40050000000000002</v>
          </cell>
          <cell r="R204">
            <v>1255155.184640676</v>
          </cell>
        </row>
        <row r="205">
          <cell r="H205">
            <v>0.45600000000000002</v>
          </cell>
          <cell r="P205">
            <v>0.45600000000000002</v>
          </cell>
          <cell r="R205">
            <v>122146821.35770549</v>
          </cell>
        </row>
        <row r="208">
          <cell r="H208">
            <v>0.76849999999999996</v>
          </cell>
          <cell r="P208">
            <v>0.43890000000000001</v>
          </cell>
          <cell r="R208">
            <v>501933.73312958778</v>
          </cell>
        </row>
        <row r="209">
          <cell r="H209">
            <v>0.51349999999999996</v>
          </cell>
          <cell r="P209">
            <v>0.49659999999999999</v>
          </cell>
          <cell r="R209">
            <v>22869968.039484363</v>
          </cell>
        </row>
        <row r="210">
          <cell r="H210">
            <v>0.47239999999999999</v>
          </cell>
          <cell r="P210">
            <v>0.5081</v>
          </cell>
          <cell r="R210">
            <v>6682907.7144419858</v>
          </cell>
        </row>
        <row r="211">
          <cell r="H211">
            <v>0.53590000000000004</v>
          </cell>
          <cell r="P211">
            <v>0.52839999999999998</v>
          </cell>
          <cell r="R211">
            <v>596151.55986474664</v>
          </cell>
        </row>
        <row r="212">
          <cell r="H212">
            <v>0.49320000000000003</v>
          </cell>
          <cell r="P212">
            <v>0.55889999999999995</v>
          </cell>
          <cell r="R212">
            <v>4895266.0640525678</v>
          </cell>
        </row>
        <row r="213">
          <cell r="H213">
            <v>0.4945</v>
          </cell>
          <cell r="P213">
            <v>0.55320000000000003</v>
          </cell>
          <cell r="R213">
            <v>982613.90793829935</v>
          </cell>
        </row>
        <row r="214">
          <cell r="H214">
            <v>0.5071</v>
          </cell>
          <cell r="P214">
            <v>0.5071</v>
          </cell>
          <cell r="R214">
            <v>36528841.018911555</v>
          </cell>
        </row>
        <row r="217">
          <cell r="H217">
            <v>0</v>
          </cell>
          <cell r="P217">
            <v>0</v>
          </cell>
          <cell r="R217">
            <v>0</v>
          </cell>
        </row>
        <row r="218">
          <cell r="H218">
            <v>0.3125</v>
          </cell>
          <cell r="P218">
            <v>0.28810000000000002</v>
          </cell>
          <cell r="R218">
            <v>10256606.620416414</v>
          </cell>
        </row>
        <row r="219">
          <cell r="H219">
            <v>0.30669999999999997</v>
          </cell>
          <cell r="P219">
            <v>0.29799999999999999</v>
          </cell>
          <cell r="R219">
            <v>87091367.474634692</v>
          </cell>
        </row>
        <row r="220">
          <cell r="H220">
            <v>0.20039999999999999</v>
          </cell>
          <cell r="P220">
            <v>0.25240000000000001</v>
          </cell>
          <cell r="R220">
            <v>30256386.98575848</v>
          </cell>
        </row>
        <row r="221">
          <cell r="H221">
            <v>0.4551</v>
          </cell>
          <cell r="P221">
            <v>0.39389999999999997</v>
          </cell>
          <cell r="R221">
            <v>16083619.31516413</v>
          </cell>
        </row>
        <row r="222">
          <cell r="H222">
            <v>0.3392</v>
          </cell>
          <cell r="P222">
            <v>0.29749999999999999</v>
          </cell>
          <cell r="R222">
            <v>1902961.7705089005</v>
          </cell>
        </row>
        <row r="223">
          <cell r="H223">
            <v>0.29430000000000001</v>
          </cell>
          <cell r="P223">
            <v>0.29430000000000001</v>
          </cell>
          <cell r="R223">
            <v>145590942.16648263</v>
          </cell>
        </row>
        <row r="226">
          <cell r="H226">
            <v>0.876</v>
          </cell>
          <cell r="P226">
            <v>0.66190000000000004</v>
          </cell>
          <cell r="R226">
            <v>1509624.3750986224</v>
          </cell>
        </row>
        <row r="227">
          <cell r="H227">
            <v>0.69689999999999996</v>
          </cell>
          <cell r="P227">
            <v>0.70030000000000003</v>
          </cell>
          <cell r="R227">
            <v>16761185.625962581</v>
          </cell>
        </row>
        <row r="228">
          <cell r="H228">
            <v>0.50819999999999999</v>
          </cell>
          <cell r="P228">
            <v>0.58199999999999996</v>
          </cell>
          <cell r="R228">
            <v>2574120.9776557609</v>
          </cell>
        </row>
        <row r="229">
          <cell r="H229">
            <v>0.80559999999999998</v>
          </cell>
          <cell r="P229">
            <v>0.78039999999999998</v>
          </cell>
          <cell r="R229">
            <v>454945.93343451968</v>
          </cell>
        </row>
        <row r="230">
          <cell r="H230">
            <v>0.88829999999999998</v>
          </cell>
          <cell r="P230">
            <v>0.87</v>
          </cell>
          <cell r="R230">
            <v>1733871.1518890602</v>
          </cell>
        </row>
        <row r="231">
          <cell r="H231">
            <v>0.74329999999999996</v>
          </cell>
          <cell r="P231">
            <v>0.7177</v>
          </cell>
          <cell r="R231">
            <v>355867.27537315973</v>
          </cell>
        </row>
        <row r="232">
          <cell r="H232">
            <v>0.69359999999999999</v>
          </cell>
          <cell r="P232">
            <v>0.69359999999999999</v>
          </cell>
          <cell r="R232">
            <v>23389615.339413706</v>
          </cell>
        </row>
        <row r="233">
          <cell r="H233"/>
          <cell r="P233"/>
          <cell r="R233"/>
        </row>
        <row r="235">
          <cell r="H235">
            <v>0.4819</v>
          </cell>
          <cell r="P235">
            <v>0.37909999999999999</v>
          </cell>
          <cell r="R235">
            <v>633208.36299793096</v>
          </cell>
        </row>
        <row r="236">
          <cell r="H236">
            <v>0</v>
          </cell>
          <cell r="P236">
            <v>0</v>
          </cell>
          <cell r="R236">
            <v>0</v>
          </cell>
        </row>
        <row r="237">
          <cell r="H237">
            <v>0.44740000000000002</v>
          </cell>
          <cell r="P237">
            <v>0.4486</v>
          </cell>
          <cell r="R237">
            <v>46963604.243557155</v>
          </cell>
        </row>
        <row r="238">
          <cell r="H238">
            <v>0</v>
          </cell>
          <cell r="P238">
            <v>0</v>
          </cell>
          <cell r="R238">
            <v>0</v>
          </cell>
        </row>
        <row r="239">
          <cell r="H239">
            <v>0</v>
          </cell>
          <cell r="P239">
            <v>0</v>
          </cell>
          <cell r="R239">
            <v>0</v>
          </cell>
        </row>
        <row r="240">
          <cell r="H240">
            <v>0</v>
          </cell>
          <cell r="P240">
            <v>0</v>
          </cell>
          <cell r="R240">
            <v>0</v>
          </cell>
        </row>
        <row r="241">
          <cell r="H241">
            <v>0.44779999999999998</v>
          </cell>
          <cell r="P241">
            <v>0.44779999999999998</v>
          </cell>
          <cell r="R241">
            <v>47596812.606555089</v>
          </cell>
        </row>
        <row r="244">
          <cell r="H244">
            <v>0</v>
          </cell>
          <cell r="P244">
            <v>0</v>
          </cell>
          <cell r="R244">
            <v>0</v>
          </cell>
        </row>
        <row r="245">
          <cell r="H245">
            <v>0.59609999999999996</v>
          </cell>
          <cell r="P245">
            <v>0.45929999999999999</v>
          </cell>
          <cell r="R245">
            <v>9575330.7250776924</v>
          </cell>
        </row>
        <row r="246">
          <cell r="H246">
            <v>0.39429999999999998</v>
          </cell>
          <cell r="P246">
            <v>0.47389999999999999</v>
          </cell>
          <cell r="R246">
            <v>46665430.110778779</v>
          </cell>
        </row>
        <row r="247">
          <cell r="H247">
            <v>0.51349999999999996</v>
          </cell>
          <cell r="P247">
            <v>0.48230000000000001</v>
          </cell>
          <cell r="R247">
            <v>16820158.440217692</v>
          </cell>
        </row>
        <row r="248">
          <cell r="H248">
            <v>0.49120000000000003</v>
          </cell>
          <cell r="P248">
            <v>0.37009999999999998</v>
          </cell>
          <cell r="R248">
            <v>10518824.692741569</v>
          </cell>
        </row>
        <row r="249">
          <cell r="H249">
            <v>0.45800000000000002</v>
          </cell>
          <cell r="P249">
            <v>0.35420000000000001</v>
          </cell>
          <cell r="R249">
            <v>571807.94484940625</v>
          </cell>
        </row>
        <row r="250">
          <cell r="H250">
            <v>0.45679999999999998</v>
          </cell>
          <cell r="P250">
            <v>0.45679999999999998</v>
          </cell>
          <cell r="R250">
            <v>84151551.913665131</v>
          </cell>
        </row>
        <row r="253">
          <cell r="H253">
            <v>0</v>
          </cell>
          <cell r="P253">
            <v>0</v>
          </cell>
          <cell r="R253">
            <v>0</v>
          </cell>
        </row>
        <row r="254">
          <cell r="H254">
            <v>0.55400000000000005</v>
          </cell>
          <cell r="P254">
            <v>0.57699999999999996</v>
          </cell>
          <cell r="R254">
            <v>1485986.2129193977</v>
          </cell>
        </row>
        <row r="255">
          <cell r="H255">
            <v>0.74870000000000003</v>
          </cell>
          <cell r="P255">
            <v>0.69210000000000005</v>
          </cell>
          <cell r="R255">
            <v>6160540.5107197799</v>
          </cell>
        </row>
        <row r="256">
          <cell r="H256">
            <v>0.64019999999999999</v>
          </cell>
          <cell r="P256">
            <v>0.58640000000000003</v>
          </cell>
          <cell r="R256">
            <v>3893520.9647105825</v>
          </cell>
        </row>
        <row r="257">
          <cell r="H257">
            <v>0.40460000000000002</v>
          </cell>
          <cell r="P257">
            <v>0.3301</v>
          </cell>
          <cell r="R257">
            <v>1347448.9564936736</v>
          </cell>
        </row>
        <row r="258">
          <cell r="H258">
            <v>0.4698</v>
          </cell>
          <cell r="P258">
            <v>0.39169999999999999</v>
          </cell>
          <cell r="R258">
            <v>125470.50173562295</v>
          </cell>
        </row>
        <row r="259">
          <cell r="H259">
            <v>0.62680000000000002</v>
          </cell>
          <cell r="P259">
            <v>0.57640000000000002</v>
          </cell>
          <cell r="R259">
            <v>13012967.146579055</v>
          </cell>
        </row>
        <row r="262">
          <cell r="H262">
            <v>0</v>
          </cell>
          <cell r="P262">
            <v>0</v>
          </cell>
          <cell r="R262">
            <v>0</v>
          </cell>
        </row>
        <row r="263">
          <cell r="H263">
            <v>0.40300000000000002</v>
          </cell>
          <cell r="P263">
            <v>0.44379999999999997</v>
          </cell>
          <cell r="R263">
            <v>760485.1966131978</v>
          </cell>
        </row>
        <row r="264">
          <cell r="H264">
            <v>0.65569999999999995</v>
          </cell>
          <cell r="P264">
            <v>0.65749999999999997</v>
          </cell>
          <cell r="R264">
            <v>6141759.7814521287</v>
          </cell>
        </row>
        <row r="265">
          <cell r="H265">
            <v>0.67600000000000005</v>
          </cell>
          <cell r="P265">
            <v>0.70840000000000003</v>
          </cell>
          <cell r="R265">
            <v>3852513.767640505</v>
          </cell>
        </row>
        <row r="266">
          <cell r="H266">
            <v>0.2959</v>
          </cell>
          <cell r="P266">
            <v>0.26989999999999997</v>
          </cell>
          <cell r="R266">
            <v>1028377.2286128121</v>
          </cell>
        </row>
        <row r="267">
          <cell r="H267">
            <v>0.38600000000000001</v>
          </cell>
          <cell r="P267">
            <v>0.3382</v>
          </cell>
          <cell r="R267">
            <v>79914.442629291239</v>
          </cell>
        </row>
        <row r="268">
          <cell r="H268">
            <v>0.5665</v>
          </cell>
          <cell r="P268">
            <v>0.57379999999999998</v>
          </cell>
          <cell r="R268">
            <v>11863050.416947935</v>
          </cell>
        </row>
        <row r="271">
          <cell r="H271">
            <v>0</v>
          </cell>
          <cell r="P271">
            <v>0</v>
          </cell>
          <cell r="R271">
            <v>0</v>
          </cell>
        </row>
        <row r="272">
          <cell r="H272">
            <v>0.50209999999999999</v>
          </cell>
          <cell r="P272">
            <v>0.54769999999999996</v>
          </cell>
          <cell r="R272">
            <v>908102.26353322004</v>
          </cell>
        </row>
        <row r="273">
          <cell r="H273">
            <v>0.55700000000000005</v>
          </cell>
          <cell r="P273">
            <v>0.61019999999999996</v>
          </cell>
          <cell r="R273">
            <v>4532980.4481546646</v>
          </cell>
        </row>
        <row r="274">
          <cell r="H274">
            <v>0.56140000000000001</v>
          </cell>
          <cell r="P274">
            <v>0.56740000000000002</v>
          </cell>
          <cell r="R274">
            <v>5103577.2163611837</v>
          </cell>
        </row>
        <row r="275">
          <cell r="H275">
            <v>0.68410000000000004</v>
          </cell>
          <cell r="P275">
            <v>0.59640000000000004</v>
          </cell>
          <cell r="R275">
            <v>2206560.3057394777</v>
          </cell>
        </row>
        <row r="276">
          <cell r="H276">
            <v>0.4501</v>
          </cell>
          <cell r="P276">
            <v>0.41189999999999999</v>
          </cell>
          <cell r="R276">
            <v>95385.752898944265</v>
          </cell>
        </row>
        <row r="277">
          <cell r="H277">
            <v>0.57499999999999996</v>
          </cell>
          <cell r="P277">
            <v>0.58330000000000004</v>
          </cell>
          <cell r="R277">
            <v>12846605.986687491</v>
          </cell>
        </row>
        <row r="280">
          <cell r="H280">
            <v>0</v>
          </cell>
          <cell r="P280">
            <v>0</v>
          </cell>
          <cell r="R280">
            <v>0</v>
          </cell>
        </row>
        <row r="281">
          <cell r="H281">
            <v>0.65</v>
          </cell>
          <cell r="P281">
            <v>0.4224</v>
          </cell>
          <cell r="R281">
            <v>6420757.0520118773</v>
          </cell>
        </row>
        <row r="282">
          <cell r="H282">
            <v>0.31209999999999999</v>
          </cell>
          <cell r="P282">
            <v>0.44280000000000003</v>
          </cell>
          <cell r="R282">
            <v>29816146.840571724</v>
          </cell>
        </row>
        <row r="283">
          <cell r="H283">
            <v>0.3352</v>
          </cell>
          <cell r="P283">
            <v>0.25869999999999999</v>
          </cell>
          <cell r="R283">
            <v>3970546.4915054222</v>
          </cell>
        </row>
        <row r="284">
          <cell r="H284">
            <v>0.5202</v>
          </cell>
          <cell r="P284">
            <v>0.34549999999999997</v>
          </cell>
          <cell r="R284">
            <v>5936438.2018956067</v>
          </cell>
        </row>
        <row r="285">
          <cell r="H285">
            <v>0.48170000000000002</v>
          </cell>
          <cell r="P285">
            <v>0.32050000000000001</v>
          </cell>
          <cell r="R285">
            <v>271037.2475855478</v>
          </cell>
        </row>
        <row r="286">
          <cell r="H286">
            <v>0.39090000000000003</v>
          </cell>
          <cell r="P286">
            <v>0.39979999999999999</v>
          </cell>
          <cell r="R286">
            <v>46414925.833570182</v>
          </cell>
        </row>
        <row r="287">
          <cell r="H287"/>
          <cell r="P287"/>
          <cell r="R287"/>
        </row>
        <row r="288">
          <cell r="H288"/>
          <cell r="P288"/>
          <cell r="R288"/>
        </row>
        <row r="290">
          <cell r="H290">
            <v>0</v>
          </cell>
          <cell r="P290">
            <v>0</v>
          </cell>
          <cell r="R290">
            <v>0</v>
          </cell>
        </row>
        <row r="291">
          <cell r="H291">
            <v>0</v>
          </cell>
          <cell r="P291">
            <v>0</v>
          </cell>
          <cell r="R291">
            <v>0</v>
          </cell>
        </row>
        <row r="292">
          <cell r="H292">
            <v>1.4E-3</v>
          </cell>
          <cell r="P292">
            <v>1.4E-3</v>
          </cell>
          <cell r="R292">
            <v>14002.52988047809</v>
          </cell>
        </row>
        <row r="293">
          <cell r="H293">
            <v>0</v>
          </cell>
          <cell r="P293">
            <v>0</v>
          </cell>
          <cell r="R293">
            <v>0</v>
          </cell>
        </row>
        <row r="294">
          <cell r="H294">
            <v>0</v>
          </cell>
          <cell r="P294">
            <v>0</v>
          </cell>
          <cell r="R294">
            <v>0</v>
          </cell>
        </row>
        <row r="295">
          <cell r="H295">
            <v>0</v>
          </cell>
          <cell r="P295">
            <v>0</v>
          </cell>
          <cell r="R295">
            <v>0</v>
          </cell>
        </row>
        <row r="296">
          <cell r="H296">
            <v>1.4E-3</v>
          </cell>
          <cell r="P296">
            <v>1.4E-3</v>
          </cell>
          <cell r="R296">
            <v>14002.52988047809</v>
          </cell>
        </row>
        <row r="298">
          <cell r="H298"/>
          <cell r="P298"/>
        </row>
        <row r="300">
          <cell r="H300">
            <v>0.20330000000000001</v>
          </cell>
          <cell r="P300">
            <v>0.23219999999999999</v>
          </cell>
          <cell r="R300">
            <v>161449.17935213895</v>
          </cell>
        </row>
        <row r="301">
          <cell r="H301">
            <v>0.3483</v>
          </cell>
          <cell r="P301">
            <v>0.3584</v>
          </cell>
          <cell r="R301">
            <v>255266.32693266839</v>
          </cell>
        </row>
        <row r="302">
          <cell r="H302">
            <v>0.111</v>
          </cell>
          <cell r="P302">
            <v>0.19289999999999999</v>
          </cell>
          <cell r="R302">
            <v>10801.887898037594</v>
          </cell>
        </row>
        <row r="303">
          <cell r="H303">
            <v>0.35830000000000001</v>
          </cell>
          <cell r="P303">
            <v>0.35549999999999998</v>
          </cell>
          <cell r="R303">
            <v>10384930.210450597</v>
          </cell>
        </row>
        <row r="304">
          <cell r="H304">
            <v>0.31159999999999999</v>
          </cell>
          <cell r="P304">
            <v>0.36580000000000001</v>
          </cell>
          <cell r="R304">
            <v>277782.97362015635</v>
          </cell>
        </row>
        <row r="305">
          <cell r="H305">
            <v>0.30659999999999998</v>
          </cell>
          <cell r="P305">
            <v>0.31569999999999998</v>
          </cell>
          <cell r="R305">
            <v>113108.82315016864</v>
          </cell>
        </row>
        <row r="306">
          <cell r="H306">
            <v>0.35220000000000001</v>
          </cell>
          <cell r="P306">
            <v>0.35220000000000001</v>
          </cell>
          <cell r="R306">
            <v>11203339.401403766</v>
          </cell>
        </row>
        <row r="307">
          <cell r="H307"/>
          <cell r="P307"/>
          <cell r="R307"/>
        </row>
        <row r="309">
          <cell r="H309">
            <v>0.25</v>
          </cell>
          <cell r="P309">
            <v>0.24510000000000001</v>
          </cell>
          <cell r="R309">
            <v>1995428.1512802206</v>
          </cell>
        </row>
        <row r="310">
          <cell r="H310">
            <v>0.24990000000000001</v>
          </cell>
          <cell r="P310">
            <v>0.25</v>
          </cell>
          <cell r="R310">
            <v>1622829.5939990741</v>
          </cell>
        </row>
        <row r="311">
          <cell r="H311">
            <v>0.23930000000000001</v>
          </cell>
          <cell r="P311">
            <v>0.23799999999999999</v>
          </cell>
          <cell r="R311">
            <v>42985727.597072117</v>
          </cell>
        </row>
        <row r="312">
          <cell r="H312">
            <v>0.253</v>
          </cell>
          <cell r="P312">
            <v>0.26029999999999998</v>
          </cell>
          <cell r="R312">
            <v>8167373.1129095545</v>
          </cell>
        </row>
        <row r="313">
          <cell r="H313">
            <v>0.24829999999999999</v>
          </cell>
          <cell r="P313">
            <v>0.25390000000000001</v>
          </cell>
          <cell r="R313">
            <v>2193823.5113030891</v>
          </cell>
        </row>
        <row r="314">
          <cell r="H314">
            <v>0.247</v>
          </cell>
          <cell r="P314">
            <v>0.24629999999999999</v>
          </cell>
          <cell r="R314">
            <v>1602587.4305651162</v>
          </cell>
        </row>
        <row r="315">
          <cell r="H315">
            <v>0.2422</v>
          </cell>
          <cell r="P315">
            <v>0.2422</v>
          </cell>
          <cell r="R315">
            <v>58567769.397129178</v>
          </cell>
        </row>
        <row r="316">
          <cell r="H316"/>
          <cell r="P316"/>
          <cell r="R316"/>
        </row>
        <row r="318">
          <cell r="H318">
            <v>0.27060000000000001</v>
          </cell>
          <cell r="P318">
            <v>0.25569999999999998</v>
          </cell>
          <cell r="R318">
            <v>234254.62698655541</v>
          </cell>
        </row>
        <row r="319">
          <cell r="H319">
            <v>0.22750000000000001</v>
          </cell>
          <cell r="P319">
            <v>0.23369999999999999</v>
          </cell>
          <cell r="R319">
            <v>39906.679606109123</v>
          </cell>
        </row>
        <row r="320">
          <cell r="H320">
            <v>0.2417</v>
          </cell>
          <cell r="P320">
            <v>0.2402</v>
          </cell>
          <cell r="R320">
            <v>41736591.549841404</v>
          </cell>
        </row>
        <row r="321">
          <cell r="H321">
            <v>0.253</v>
          </cell>
          <cell r="P321">
            <v>0.26029999999999998</v>
          </cell>
          <cell r="R321">
            <v>8167373.1129095545</v>
          </cell>
        </row>
        <row r="322">
          <cell r="H322">
            <v>0.24829999999999999</v>
          </cell>
          <cell r="P322">
            <v>0.25569999999999998</v>
          </cell>
          <cell r="R322">
            <v>1678596.1792939974</v>
          </cell>
        </row>
        <row r="323">
          <cell r="H323">
            <v>0.24329999999999999</v>
          </cell>
          <cell r="P323">
            <v>0.24640000000000001</v>
          </cell>
          <cell r="R323">
            <v>31962.195859972915</v>
          </cell>
        </row>
        <row r="324">
          <cell r="H324">
            <v>0.2437</v>
          </cell>
          <cell r="P324">
            <v>0.2437</v>
          </cell>
          <cell r="R324">
            <v>51888684.344497599</v>
          </cell>
        </row>
        <row r="325">
          <cell r="H325"/>
          <cell r="P325"/>
          <cell r="R325"/>
        </row>
        <row r="327">
          <cell r="H327">
            <v>0.24729999999999999</v>
          </cell>
          <cell r="P327">
            <v>0.2437</v>
          </cell>
          <cell r="R327">
            <v>1761173.5242936653</v>
          </cell>
        </row>
        <row r="328">
          <cell r="H328">
            <v>0.2505</v>
          </cell>
          <cell r="P328">
            <v>0.2505</v>
          </cell>
          <cell r="R328">
            <v>1582922.9143929649</v>
          </cell>
        </row>
        <row r="329">
          <cell r="H329">
            <v>0.1772</v>
          </cell>
          <cell r="P329">
            <v>0.182</v>
          </cell>
          <cell r="R329">
            <v>1249136.0472307124</v>
          </cell>
        </row>
        <row r="330">
          <cell r="H330">
            <v>0</v>
          </cell>
          <cell r="P330">
            <v>0</v>
          </cell>
          <cell r="R330">
            <v>0</v>
          </cell>
        </row>
        <row r="331">
          <cell r="H331">
            <v>0.2485</v>
          </cell>
          <cell r="P331">
            <v>0.24809999999999999</v>
          </cell>
          <cell r="R331">
            <v>515227.33200909168</v>
          </cell>
        </row>
        <row r="332">
          <cell r="H332">
            <v>0.24709999999999999</v>
          </cell>
          <cell r="P332">
            <v>0.24629999999999999</v>
          </cell>
          <cell r="R332">
            <v>1570625.2347051434</v>
          </cell>
        </row>
        <row r="333">
          <cell r="H333">
            <v>0.23139999999999999</v>
          </cell>
          <cell r="P333">
            <v>0.23139999999999999</v>
          </cell>
          <cell r="R333">
            <v>6679085.0526315784</v>
          </cell>
        </row>
        <row r="334">
          <cell r="H334"/>
          <cell r="P334"/>
          <cell r="R334"/>
        </row>
        <row r="336">
          <cell r="H336">
            <v>0.1026</v>
          </cell>
          <cell r="P336">
            <v>4.0300000000000002E-2</v>
          </cell>
          <cell r="R336">
            <v>486324.55827859131</v>
          </cell>
        </row>
        <row r="337">
          <cell r="H337">
            <v>0.1038</v>
          </cell>
          <cell r="P337">
            <v>4.1099999999999998E-2</v>
          </cell>
          <cell r="R337">
            <v>425316.55306087382</v>
          </cell>
        </row>
        <row r="338">
          <cell r="H338">
            <v>-1.03E-2</v>
          </cell>
          <cell r="P338">
            <v>1.8800000000000001E-2</v>
          </cell>
          <cell r="R338">
            <v>158062.90173669739</v>
          </cell>
        </row>
        <row r="339">
          <cell r="H339">
            <v>-0.13469999999999999</v>
          </cell>
          <cell r="P339">
            <v>3.9600000000000003E-2</v>
          </cell>
          <cell r="R339">
            <v>283805.18429521547</v>
          </cell>
        </row>
        <row r="340">
          <cell r="H340">
            <v>1.18E-2</v>
          </cell>
          <cell r="P340">
            <v>2.8999999999999998E-3</v>
          </cell>
          <cell r="R340">
            <v>25.838280030470973</v>
          </cell>
        </row>
        <row r="341">
          <cell r="H341">
            <v>0.1002</v>
          </cell>
          <cell r="P341">
            <v>4.07E-2</v>
          </cell>
          <cell r="R341">
            <v>275812.82333206118</v>
          </cell>
        </row>
        <row r="342">
          <cell r="H342">
            <v>3.5799999999999998E-2</v>
          </cell>
          <cell r="P342">
            <v>3.5799999999999998E-2</v>
          </cell>
          <cell r="R342">
            <v>1629347.8589834697</v>
          </cell>
        </row>
        <row r="343">
          <cell r="H343"/>
          <cell r="P343"/>
        </row>
        <row r="345">
          <cell r="H345">
            <v>0.9758</v>
          </cell>
          <cell r="P345">
            <v>0.94410000000000005</v>
          </cell>
          <cell r="R345">
            <v>742706.36872365326</v>
          </cell>
        </row>
        <row r="346">
          <cell r="H346">
            <v>0.34370000000000001</v>
          </cell>
          <cell r="P346">
            <v>0.34420000000000001</v>
          </cell>
          <cell r="R346">
            <v>101076.70995497631</v>
          </cell>
        </row>
        <row r="347">
          <cell r="H347">
            <v>0.35709999999999997</v>
          </cell>
          <cell r="P347">
            <v>0.36109999999999998</v>
          </cell>
          <cell r="R347">
            <v>566609.91339037009</v>
          </cell>
        </row>
        <row r="348">
          <cell r="H348">
            <v>0.65139999999999998</v>
          </cell>
          <cell r="P348">
            <v>0.65569999999999995</v>
          </cell>
          <cell r="R348">
            <v>14343394.248853471</v>
          </cell>
        </row>
        <row r="349">
          <cell r="H349">
            <v>0.73899999999999999</v>
          </cell>
          <cell r="P349">
            <v>0.71230000000000004</v>
          </cell>
          <cell r="R349">
            <v>1808029.4795636002</v>
          </cell>
        </row>
        <row r="350">
          <cell r="H350">
            <v>0.97499999999999998</v>
          </cell>
          <cell r="P350">
            <v>0.96519999999999995</v>
          </cell>
          <cell r="R350">
            <v>564845.42470014573</v>
          </cell>
        </row>
        <row r="351">
          <cell r="H351">
            <v>0.65469999999999995</v>
          </cell>
          <cell r="P351">
            <v>0.65469999999999995</v>
          </cell>
          <cell r="R351">
            <v>18126662.145186216</v>
          </cell>
        </row>
        <row r="352">
          <cell r="H352"/>
          <cell r="P352"/>
        </row>
        <row r="354">
          <cell r="H354">
            <v>0.98899999999999999</v>
          </cell>
          <cell r="P354">
            <v>0.93340000000000001</v>
          </cell>
          <cell r="R354">
            <v>345660.11816759268</v>
          </cell>
        </row>
        <row r="355">
          <cell r="H355">
            <v>0</v>
          </cell>
          <cell r="P355">
            <v>0</v>
          </cell>
          <cell r="R355">
            <v>0</v>
          </cell>
        </row>
        <row r="356">
          <cell r="H356">
            <v>0.74709999999999999</v>
          </cell>
          <cell r="P356">
            <v>0.60819999999999996</v>
          </cell>
          <cell r="R356">
            <v>371245.62688685732</v>
          </cell>
        </row>
        <row r="357">
          <cell r="H357">
            <v>1.0588</v>
          </cell>
          <cell r="P357">
            <v>1.1051</v>
          </cell>
          <cell r="R357">
            <v>3564951.5981303034</v>
          </cell>
        </row>
        <row r="358">
          <cell r="H358">
            <v>0.96540000000000004</v>
          </cell>
          <cell r="P358">
            <v>0.92490000000000006</v>
          </cell>
          <cell r="R358">
            <v>658138.62485305546</v>
          </cell>
        </row>
        <row r="359">
          <cell r="H359">
            <v>1.0222</v>
          </cell>
          <cell r="P359">
            <v>0.96809999999999996</v>
          </cell>
          <cell r="R359">
            <v>267216.05230970739</v>
          </cell>
        </row>
        <row r="360">
          <cell r="H360">
            <v>1.0024</v>
          </cell>
          <cell r="P360">
            <v>1.0024</v>
          </cell>
          <cell r="R360">
            <v>5207212.0203475161</v>
          </cell>
        </row>
        <row r="361">
          <cell r="H361"/>
          <cell r="P361"/>
          <cell r="R361"/>
        </row>
        <row r="363">
          <cell r="H363">
            <v>1.0993999999999999</v>
          </cell>
          <cell r="P363">
            <v>1.0612999999999999</v>
          </cell>
          <cell r="R363">
            <v>181592.95573330563</v>
          </cell>
        </row>
        <row r="364">
          <cell r="H364">
            <v>0</v>
          </cell>
          <cell r="P364">
            <v>0</v>
          </cell>
          <cell r="R364">
            <v>0</v>
          </cell>
        </row>
        <row r="365">
          <cell r="H365">
            <v>-1.2436</v>
          </cell>
          <cell r="P365">
            <v>-0.57240000000000002</v>
          </cell>
          <cell r="R365">
            <v>-172252.18819369259</v>
          </cell>
        </row>
        <row r="366">
          <cell r="H366">
            <v>1.1246</v>
          </cell>
          <cell r="P366">
            <v>1.0829</v>
          </cell>
          <cell r="R366">
            <v>3052716.1004330604</v>
          </cell>
        </row>
        <row r="367">
          <cell r="H367">
            <v>1.0018</v>
          </cell>
          <cell r="P367">
            <v>0.93159999999999998</v>
          </cell>
          <cell r="R367">
            <v>408946.6929552771</v>
          </cell>
        </row>
        <row r="368">
          <cell r="H368">
            <v>1.153</v>
          </cell>
          <cell r="P368">
            <v>1.1635</v>
          </cell>
          <cell r="R368">
            <v>130519.27001205135</v>
          </cell>
        </row>
        <row r="369">
          <cell r="H369">
            <v>0.96599999999999997</v>
          </cell>
          <cell r="P369">
            <v>0.96599999999999997</v>
          </cell>
          <cell r="R369">
            <v>3601522.8309400016</v>
          </cell>
        </row>
        <row r="370">
          <cell r="H370"/>
          <cell r="P370"/>
          <cell r="R370"/>
        </row>
        <row r="372">
          <cell r="H372">
            <v>1.0831999999999999</v>
          </cell>
          <cell r="P372">
            <v>1.0938000000000001</v>
          </cell>
          <cell r="R372">
            <v>189452.64852487788</v>
          </cell>
        </row>
        <row r="373">
          <cell r="H373">
            <v>0</v>
          </cell>
          <cell r="P373">
            <v>0</v>
          </cell>
          <cell r="R373">
            <v>0</v>
          </cell>
        </row>
        <row r="374">
          <cell r="H374">
            <v>0.52270000000000005</v>
          </cell>
          <cell r="P374">
            <v>0.44350000000000001</v>
          </cell>
          <cell r="R374">
            <v>367616.4746972053</v>
          </cell>
        </row>
        <row r="375">
          <cell r="H375">
            <v>1.1001000000000001</v>
          </cell>
          <cell r="P375">
            <v>1.1245000000000001</v>
          </cell>
          <cell r="R375">
            <v>2996913.6827608524</v>
          </cell>
        </row>
        <row r="376">
          <cell r="H376">
            <v>0.97909999999999997</v>
          </cell>
          <cell r="P376">
            <v>0.95909999999999995</v>
          </cell>
          <cell r="R376">
            <v>425979.71210601146</v>
          </cell>
        </row>
        <row r="377">
          <cell r="H377">
            <v>1.1267</v>
          </cell>
          <cell r="P377">
            <v>1.1990000000000001</v>
          </cell>
          <cell r="R377">
            <v>136168.39534035753</v>
          </cell>
        </row>
        <row r="378">
          <cell r="H378">
            <v>0.97350000000000003</v>
          </cell>
          <cell r="P378">
            <v>0.97350000000000003</v>
          </cell>
          <cell r="R378">
            <v>4116130.9134293045</v>
          </cell>
        </row>
        <row r="379">
          <cell r="H379"/>
          <cell r="P379"/>
          <cell r="R379"/>
        </row>
        <row r="381">
          <cell r="H381">
            <v>0.38159999999999999</v>
          </cell>
          <cell r="P381">
            <v>0.38290000000000002</v>
          </cell>
          <cell r="R381">
            <v>26000.646297877054</v>
          </cell>
        </row>
        <row r="382">
          <cell r="H382">
            <v>0.34370000000000001</v>
          </cell>
          <cell r="P382">
            <v>0.34420000000000001</v>
          </cell>
          <cell r="R382">
            <v>101076.70995497631</v>
          </cell>
        </row>
        <row r="383">
          <cell r="H383">
            <v>0</v>
          </cell>
          <cell r="P383">
            <v>0</v>
          </cell>
          <cell r="R383">
            <v>0</v>
          </cell>
        </row>
        <row r="384">
          <cell r="H384">
            <v>0.34520000000000001</v>
          </cell>
          <cell r="P384">
            <v>0.34510000000000002</v>
          </cell>
          <cell r="R384">
            <v>4728812.8675292553</v>
          </cell>
        </row>
        <row r="385">
          <cell r="H385">
            <v>0.31869999999999998</v>
          </cell>
          <cell r="P385">
            <v>0.32079999999999997</v>
          </cell>
          <cell r="R385">
            <v>314964.44964925596</v>
          </cell>
        </row>
        <row r="386">
          <cell r="H386">
            <v>0.36259999999999998</v>
          </cell>
          <cell r="P386">
            <v>0.35630000000000001</v>
          </cell>
          <cell r="R386">
            <v>30941.707038029446</v>
          </cell>
        </row>
        <row r="387">
          <cell r="H387">
            <v>0.34370000000000001</v>
          </cell>
          <cell r="P387">
            <v>0.34370000000000001</v>
          </cell>
          <cell r="R387">
            <v>5201796.3804693939</v>
          </cell>
        </row>
        <row r="388">
          <cell r="H388"/>
          <cell r="P388"/>
          <cell r="R388"/>
        </row>
        <row r="390">
          <cell r="H390">
            <v>0.29160000000000003</v>
          </cell>
          <cell r="P390">
            <v>0.53310000000000002</v>
          </cell>
          <cell r="R390">
            <v>581894.7778869617</v>
          </cell>
        </row>
        <row r="391">
          <cell r="H391">
            <v>2E-3</v>
          </cell>
          <cell r="P391">
            <v>2.2499999999999999E-2</v>
          </cell>
          <cell r="R391">
            <v>786429.36180135596</v>
          </cell>
        </row>
        <row r="392">
          <cell r="H392">
            <v>0.14990000000000001</v>
          </cell>
          <cell r="P392">
            <v>0.1125</v>
          </cell>
          <cell r="R392">
            <v>32475.59253243417</v>
          </cell>
        </row>
        <row r="393">
          <cell r="H393">
            <v>0.154</v>
          </cell>
          <cell r="P393">
            <v>0.1575</v>
          </cell>
          <cell r="R393">
            <v>389087.77072741202</v>
          </cell>
        </row>
        <row r="394">
          <cell r="H394">
            <v>0.60129999999999995</v>
          </cell>
          <cell r="P394">
            <v>0.50249999999999995</v>
          </cell>
          <cell r="R394">
            <v>185912.74255772069</v>
          </cell>
        </row>
        <row r="395">
          <cell r="H395">
            <v>0.104</v>
          </cell>
          <cell r="P395">
            <v>0.1125</v>
          </cell>
          <cell r="R395">
            <v>2039099.24915409</v>
          </cell>
        </row>
        <row r="396">
          <cell r="H396">
            <v>0.6089</v>
          </cell>
          <cell r="P396">
            <v>0.53490000000000004</v>
          </cell>
          <cell r="R396">
            <v>14654846.074437225</v>
          </cell>
        </row>
        <row r="397">
          <cell r="H397">
            <v>0.20399999999999999</v>
          </cell>
          <cell r="P397">
            <v>0.2024</v>
          </cell>
          <cell r="R397">
            <v>1518139.8181180716</v>
          </cell>
        </row>
        <row r="398">
          <cell r="H398">
            <v>0.81859999999999999</v>
          </cell>
          <cell r="P398">
            <v>0.72789999999999999</v>
          </cell>
          <cell r="R398">
            <v>60449.934945731802</v>
          </cell>
        </row>
        <row r="399">
          <cell r="H399">
            <v>0.2041</v>
          </cell>
          <cell r="P399">
            <v>0.2024</v>
          </cell>
          <cell r="R399">
            <v>1489210.636041997</v>
          </cell>
        </row>
        <row r="400">
          <cell r="H400">
            <v>0.154</v>
          </cell>
          <cell r="P400">
            <v>0.1575</v>
          </cell>
          <cell r="R400">
            <v>2878047.7145088422</v>
          </cell>
        </row>
        <row r="401">
          <cell r="H401">
            <v>2.0999999999999999E-3</v>
          </cell>
          <cell r="P401">
            <v>2.2499999999999999E-2</v>
          </cell>
          <cell r="R401">
            <v>996151.37490719883</v>
          </cell>
        </row>
        <row r="402">
          <cell r="H402">
            <v>0.15790000000000001</v>
          </cell>
          <cell r="P402">
            <v>0.15790000000000001</v>
          </cell>
          <cell r="R402">
            <v>25611745.047619045</v>
          </cell>
        </row>
        <row r="403">
          <cell r="H403"/>
          <cell r="P403"/>
          <cell r="R403"/>
        </row>
        <row r="405">
          <cell r="H405">
            <v>1.0722</v>
          </cell>
          <cell r="P405">
            <v>1.0386</v>
          </cell>
          <cell r="R405">
            <v>11309.443157538228</v>
          </cell>
        </row>
        <row r="406">
          <cell r="H406">
            <v>0.73850000000000005</v>
          </cell>
          <cell r="P406">
            <v>0.56489999999999996</v>
          </cell>
          <cell r="R406">
            <v>437667.21478112822</v>
          </cell>
        </row>
        <row r="407">
          <cell r="H407">
            <v>0.98550000000000004</v>
          </cell>
          <cell r="P407">
            <v>0.79620000000000002</v>
          </cell>
          <cell r="R407">
            <v>110815.06683701409</v>
          </cell>
        </row>
        <row r="408">
          <cell r="H408">
            <v>1.0504</v>
          </cell>
          <cell r="P408">
            <v>1.0686</v>
          </cell>
          <cell r="R408">
            <v>8797242.0602491014</v>
          </cell>
        </row>
        <row r="409">
          <cell r="H409">
            <v>0.99270000000000003</v>
          </cell>
          <cell r="P409">
            <v>1.0004999999999999</v>
          </cell>
          <cell r="R409">
            <v>1060778.7095447211</v>
          </cell>
        </row>
        <row r="410">
          <cell r="H410">
            <v>1.1081000000000001</v>
          </cell>
          <cell r="P410">
            <v>1.1787000000000001</v>
          </cell>
          <cell r="R410">
            <v>57625.984812917945</v>
          </cell>
        </row>
        <row r="411">
          <cell r="H411">
            <v>1.0204</v>
          </cell>
          <cell r="P411">
            <v>1.0204</v>
          </cell>
          <cell r="R411">
            <v>10475438.47938242</v>
          </cell>
        </row>
        <row r="412">
          <cell r="H412"/>
          <cell r="P412"/>
          <cell r="R412"/>
        </row>
        <row r="414">
          <cell r="H414">
            <v>1.0754999999999999</v>
          </cell>
          <cell r="P414">
            <v>1.0315000000000001</v>
          </cell>
          <cell r="R414">
            <v>5618.5242563960655</v>
          </cell>
        </row>
        <row r="415">
          <cell r="H415">
            <v>0.73939999999999995</v>
          </cell>
          <cell r="P415">
            <v>0.56100000000000005</v>
          </cell>
          <cell r="R415">
            <v>217432.79737323031</v>
          </cell>
        </row>
        <row r="416">
          <cell r="H416">
            <v>0.99580000000000002</v>
          </cell>
          <cell r="P416">
            <v>0.79069999999999996</v>
          </cell>
          <cell r="R416">
            <v>55052.855593771106</v>
          </cell>
        </row>
        <row r="417">
          <cell r="H417">
            <v>1.0524</v>
          </cell>
          <cell r="P417">
            <v>1.0708</v>
          </cell>
          <cell r="R417">
            <v>4542228.3906391999</v>
          </cell>
        </row>
        <row r="418">
          <cell r="H418">
            <v>0.99650000000000005</v>
          </cell>
          <cell r="P418">
            <v>1.0052000000000001</v>
          </cell>
          <cell r="R418">
            <v>510232.98808509612</v>
          </cell>
        </row>
        <row r="419">
          <cell r="H419">
            <v>1.1161000000000001</v>
          </cell>
          <cell r="P419">
            <v>1.1726000000000001</v>
          </cell>
          <cell r="R419">
            <v>22952.119455531272</v>
          </cell>
        </row>
        <row r="420">
          <cell r="H420">
            <v>1.0233000000000001</v>
          </cell>
          <cell r="P420">
            <v>1.0233000000000001</v>
          </cell>
          <cell r="R420">
            <v>5353517.6754032243</v>
          </cell>
        </row>
        <row r="421">
          <cell r="H421"/>
          <cell r="P421"/>
          <cell r="R421"/>
        </row>
        <row r="423">
          <cell r="H423">
            <v>1.0689</v>
          </cell>
          <cell r="P423">
            <v>1.0458000000000001</v>
          </cell>
          <cell r="R423">
            <v>5690.9189011421622</v>
          </cell>
        </row>
        <row r="424">
          <cell r="H424">
            <v>0.73760000000000003</v>
          </cell>
          <cell r="P424">
            <v>0.56879999999999997</v>
          </cell>
          <cell r="R424">
            <v>220234.41740789794</v>
          </cell>
        </row>
        <row r="425">
          <cell r="H425">
            <v>0.97519999999999996</v>
          </cell>
          <cell r="P425">
            <v>0.80169999999999997</v>
          </cell>
          <cell r="R425">
            <v>55762.211243242986</v>
          </cell>
        </row>
        <row r="426">
          <cell r="H426">
            <v>1.0483</v>
          </cell>
          <cell r="P426">
            <v>1.0662</v>
          </cell>
          <cell r="R426">
            <v>4255013.6696099015</v>
          </cell>
        </row>
        <row r="427">
          <cell r="H427">
            <v>0.98909999999999998</v>
          </cell>
          <cell r="P427">
            <v>0.99619999999999997</v>
          </cell>
          <cell r="R427">
            <v>550545.72145962494</v>
          </cell>
        </row>
        <row r="428">
          <cell r="H428">
            <v>1.1028</v>
          </cell>
          <cell r="P428">
            <v>1.1828000000000001</v>
          </cell>
          <cell r="R428">
            <v>34673.865357386669</v>
          </cell>
        </row>
        <row r="429">
          <cell r="H429">
            <v>1.0173000000000001</v>
          </cell>
          <cell r="P429">
            <v>1.0173000000000001</v>
          </cell>
          <cell r="R429">
            <v>5121920.8039791966</v>
          </cell>
        </row>
        <row r="430">
          <cell r="H430"/>
          <cell r="P430"/>
          <cell r="R430"/>
        </row>
        <row r="431">
          <cell r="H431"/>
          <cell r="P431"/>
          <cell r="R431"/>
        </row>
        <row r="432">
          <cell r="R432"/>
        </row>
        <row r="433">
          <cell r="P433"/>
        </row>
        <row r="434">
          <cell r="P434"/>
        </row>
      </sheetData>
      <sheetData sheetId="11"/>
      <sheetData sheetId="12"/>
      <sheetData sheetId="13"/>
      <sheetData sheetId="14"/>
      <sheetData sheetId="15">
        <row r="1">
          <cell r="V1" t="str">
            <v xml:space="preserve">   Statement H</v>
          </cell>
          <cell r="X1"/>
          <cell r="Z1"/>
        </row>
        <row r="2">
          <cell r="X2" t="str">
            <v/>
          </cell>
          <cell r="Z2"/>
        </row>
        <row r="6">
          <cell r="R6"/>
          <cell r="T6"/>
          <cell r="V6"/>
          <cell r="X6"/>
          <cell r="Z6"/>
          <cell r="AB6" t="str">
            <v>Realized Net Salvage</v>
          </cell>
          <cell r="AF6"/>
          <cell r="AH6"/>
          <cell r="AL6"/>
        </row>
        <row r="7">
          <cell r="R7" t="str">
            <v>Curve</v>
          </cell>
          <cell r="T7" t="str">
            <v>VG</v>
          </cell>
          <cell r="V7" t="str">
            <v>Rem.</v>
          </cell>
          <cell r="X7" t="str">
            <v>Avg.</v>
          </cell>
          <cell r="Z7" t="str">
            <v>Fut.</v>
          </cell>
          <cell r="AB7" t="str">
            <v>Unadjusted</v>
          </cell>
          <cell r="AF7"/>
          <cell r="AH7" t="str">
            <v>Adjusted</v>
          </cell>
          <cell r="AL7"/>
        </row>
        <row r="8">
          <cell r="R8" t="str">
            <v>Shape</v>
          </cell>
          <cell r="T8" t="str">
            <v>ASL</v>
          </cell>
          <cell r="V8" t="str">
            <v>Life</v>
          </cell>
          <cell r="X8" t="str">
            <v>Sal.</v>
          </cell>
          <cell r="Z8" t="str">
            <v>Sal.</v>
          </cell>
          <cell r="AB8" t="str">
            <v>Sal.(Sus)</v>
          </cell>
          <cell r="AF8" t="str">
            <v>Net(NSu)</v>
          </cell>
          <cell r="AH8" t="str">
            <v>Sal. (Sds)</v>
          </cell>
          <cell r="AL8" t="str">
            <v>Net(NSd)</v>
          </cell>
        </row>
        <row r="9">
          <cell r="R9" t="str">
            <v>I</v>
          </cell>
          <cell r="T9" t="str">
            <v>J</v>
          </cell>
          <cell r="V9" t="str">
            <v>K</v>
          </cell>
          <cell r="X9" t="str">
            <v>L</v>
          </cell>
          <cell r="Z9" t="str">
            <v>M</v>
          </cell>
          <cell r="AB9" t="str">
            <v>AB</v>
          </cell>
          <cell r="AF9" t="str">
            <v>AF</v>
          </cell>
          <cell r="AH9" t="str">
            <v>AH</v>
          </cell>
          <cell r="AL9" t="str">
            <v>AL</v>
          </cell>
        </row>
        <row r="11">
          <cell r="T11"/>
          <cell r="V11"/>
          <cell r="X11"/>
          <cell r="Z11"/>
          <cell r="AB11"/>
          <cell r="AF11"/>
        </row>
        <row r="12">
          <cell r="R12"/>
          <cell r="T12">
            <v>43.02</v>
          </cell>
          <cell r="V12">
            <v>18.8</v>
          </cell>
          <cell r="X12">
            <v>0</v>
          </cell>
          <cell r="Z12">
            <v>-1.125516041594294E-2</v>
          </cell>
          <cell r="AB12"/>
          <cell r="AF12">
            <v>0</v>
          </cell>
          <cell r="AH12"/>
          <cell r="AL12">
            <v>0</v>
          </cell>
        </row>
        <row r="13">
          <cell r="R13"/>
          <cell r="T13">
            <v>35.83</v>
          </cell>
          <cell r="V13">
            <v>20.41</v>
          </cell>
          <cell r="X13">
            <v>-11.9</v>
          </cell>
          <cell r="Z13">
            <v>-13.928670560491357</v>
          </cell>
          <cell r="AB13"/>
          <cell r="AF13">
            <v>0</v>
          </cell>
          <cell r="AH13"/>
          <cell r="AL13">
            <v>0</v>
          </cell>
        </row>
        <row r="14">
          <cell r="R14"/>
          <cell r="T14">
            <v>39.35</v>
          </cell>
          <cell r="V14">
            <v>23.05</v>
          </cell>
          <cell r="X14">
            <v>-10.3</v>
          </cell>
          <cell r="Z14">
            <v>-11.163693538041782</v>
          </cell>
          <cell r="AB14"/>
          <cell r="AF14">
            <v>0</v>
          </cell>
          <cell r="AH14"/>
          <cell r="AL14">
            <v>0</v>
          </cell>
        </row>
        <row r="15">
          <cell r="R15"/>
          <cell r="T15">
            <v>37.19</v>
          </cell>
          <cell r="V15">
            <v>23.25</v>
          </cell>
          <cell r="X15">
            <v>-9.5</v>
          </cell>
          <cell r="Z15">
            <v>-10.750632434773721</v>
          </cell>
          <cell r="AB15"/>
          <cell r="AF15">
            <v>0</v>
          </cell>
          <cell r="AH15"/>
          <cell r="AL15">
            <v>0</v>
          </cell>
        </row>
        <row r="16">
          <cell r="R16"/>
          <cell r="T16">
            <v>35.880000000000003</v>
          </cell>
          <cell r="V16">
            <v>21.47</v>
          </cell>
          <cell r="X16">
            <v>-12.7</v>
          </cell>
          <cell r="Z16">
            <v>-13.334338872510157</v>
          </cell>
          <cell r="AB16"/>
          <cell r="AF16">
            <v>0</v>
          </cell>
          <cell r="AH16"/>
          <cell r="AL16">
            <v>0</v>
          </cell>
        </row>
        <row r="17">
          <cell r="R17"/>
          <cell r="T17">
            <v>34.83</v>
          </cell>
          <cell r="V17">
            <v>20.88</v>
          </cell>
          <cell r="X17">
            <v>-7.5</v>
          </cell>
          <cell r="Z17">
            <v>-8.3541640772500738</v>
          </cell>
          <cell r="AB17"/>
          <cell r="AF17">
            <v>0</v>
          </cell>
          <cell r="AH17"/>
          <cell r="AL17">
            <v>0</v>
          </cell>
        </row>
        <row r="18">
          <cell r="R18"/>
          <cell r="T18">
            <v>38.17</v>
          </cell>
          <cell r="V18">
            <v>22.58</v>
          </cell>
          <cell r="X18">
            <v>-10.5</v>
          </cell>
          <cell r="Z18">
            <v>-11.517703223547219</v>
          </cell>
          <cell r="AB18"/>
          <cell r="AF18">
            <v>-4.1000000000000005</v>
          </cell>
          <cell r="AL18">
            <v>-4.1000000000000005</v>
          </cell>
        </row>
        <row r="19">
          <cell r="R19"/>
          <cell r="T19"/>
          <cell r="V19"/>
          <cell r="X19"/>
          <cell r="Z19"/>
          <cell r="AB19"/>
          <cell r="AF19"/>
        </row>
        <row r="20">
          <cell r="T20"/>
          <cell r="V20"/>
          <cell r="X20"/>
          <cell r="Z20"/>
          <cell r="AB20"/>
          <cell r="AF20"/>
        </row>
        <row r="21">
          <cell r="T21"/>
          <cell r="V21"/>
          <cell r="X21"/>
          <cell r="Z21"/>
          <cell r="AB21"/>
          <cell r="AF21"/>
        </row>
        <row r="22">
          <cell r="R22"/>
          <cell r="T22">
            <v>41.75</v>
          </cell>
          <cell r="V22">
            <v>32.67</v>
          </cell>
          <cell r="X22">
            <v>-7.6</v>
          </cell>
          <cell r="Z22">
            <v>-7.668820731258509</v>
          </cell>
          <cell r="AB22">
            <v>0</v>
          </cell>
          <cell r="AF22">
            <v>0</v>
          </cell>
          <cell r="AH22">
            <v>0</v>
          </cell>
          <cell r="AL22">
            <v>0</v>
          </cell>
        </row>
        <row r="23">
          <cell r="R23"/>
          <cell r="T23">
            <v>40.630000000000003</v>
          </cell>
          <cell r="V23">
            <v>31.82</v>
          </cell>
          <cell r="X23">
            <v>-7.3</v>
          </cell>
          <cell r="Z23">
            <v>-7.2924608604805057</v>
          </cell>
          <cell r="AB23">
            <v>0</v>
          </cell>
          <cell r="AF23"/>
          <cell r="AH23">
            <v>0</v>
          </cell>
          <cell r="AL23"/>
        </row>
        <row r="24">
          <cell r="R24"/>
          <cell r="T24">
            <v>40.57</v>
          </cell>
          <cell r="V24">
            <v>31.72</v>
          </cell>
          <cell r="X24">
            <v>-4.8</v>
          </cell>
          <cell r="Z24">
            <v>-4.8558359744460748</v>
          </cell>
          <cell r="AB24">
            <v>0</v>
          </cell>
          <cell r="AF24"/>
          <cell r="AH24">
            <v>0</v>
          </cell>
          <cell r="AL24"/>
        </row>
        <row r="25">
          <cell r="R25"/>
          <cell r="T25">
            <v>42.1</v>
          </cell>
          <cell r="V25">
            <v>28.01</v>
          </cell>
          <cell r="X25">
            <v>-5.0999999999999996</v>
          </cell>
          <cell r="Z25">
            <v>-5.5208037105914958</v>
          </cell>
          <cell r="AB25">
            <v>0</v>
          </cell>
          <cell r="AF25"/>
          <cell r="AH25">
            <v>0</v>
          </cell>
          <cell r="AL25"/>
        </row>
        <row r="26">
          <cell r="R26"/>
          <cell r="T26">
            <v>39.56</v>
          </cell>
          <cell r="V26">
            <v>26.72</v>
          </cell>
          <cell r="X26">
            <v>-4.7</v>
          </cell>
          <cell r="Z26">
            <v>-5.2920865074335879</v>
          </cell>
          <cell r="AB26">
            <v>0</v>
          </cell>
          <cell r="AF26"/>
          <cell r="AH26">
            <v>0</v>
          </cell>
          <cell r="AL26"/>
        </row>
        <row r="27">
          <cell r="R27"/>
          <cell r="T27">
            <v>42.19</v>
          </cell>
          <cell r="V27">
            <v>32.46</v>
          </cell>
          <cell r="X27">
            <v>-7.2000000000000011</v>
          </cell>
          <cell r="Z27">
            <v>-7.2596744595339695</v>
          </cell>
          <cell r="AB27">
            <v>0</v>
          </cell>
          <cell r="AF27"/>
          <cell r="AH27">
            <v>0</v>
          </cell>
          <cell r="AL27"/>
        </row>
        <row r="28">
          <cell r="R28"/>
          <cell r="T28">
            <v>41.08</v>
          </cell>
          <cell r="V28">
            <v>30.62</v>
          </cell>
          <cell r="X28">
            <v>-5.3</v>
          </cell>
          <cell r="Z28">
            <v>-5.4544743092256116</v>
          </cell>
          <cell r="AB28"/>
          <cell r="AF28">
            <v>-0.2</v>
          </cell>
          <cell r="AL28">
            <v>-0.2</v>
          </cell>
        </row>
        <row r="29">
          <cell r="R29"/>
          <cell r="T29"/>
          <cell r="V29"/>
          <cell r="X29"/>
          <cell r="Z29"/>
          <cell r="AB29"/>
          <cell r="AF29"/>
        </row>
        <row r="30">
          <cell r="T30"/>
          <cell r="V30"/>
          <cell r="X30"/>
          <cell r="Z30"/>
          <cell r="AB30"/>
          <cell r="AF30"/>
        </row>
        <row r="31">
          <cell r="R31"/>
          <cell r="T31">
            <v>28</v>
          </cell>
          <cell r="V31">
            <v>24.49</v>
          </cell>
          <cell r="X31">
            <v>-5</v>
          </cell>
          <cell r="Z31">
            <v>-5.0000000000000009</v>
          </cell>
          <cell r="AB31">
            <v>0</v>
          </cell>
          <cell r="AF31">
            <v>0</v>
          </cell>
          <cell r="AH31">
            <v>0</v>
          </cell>
          <cell r="AL31">
            <v>0</v>
          </cell>
        </row>
        <row r="32">
          <cell r="R32"/>
          <cell r="T32">
            <v>28</v>
          </cell>
          <cell r="V32">
            <v>24.49</v>
          </cell>
          <cell r="X32">
            <v>-5</v>
          </cell>
          <cell r="Z32">
            <v>-5.0000000000000009</v>
          </cell>
          <cell r="AB32"/>
          <cell r="AF32">
            <v>0</v>
          </cell>
          <cell r="AL32">
            <v>0</v>
          </cell>
        </row>
        <row r="33">
          <cell r="R33"/>
          <cell r="T33"/>
          <cell r="V33"/>
          <cell r="X33"/>
          <cell r="Z33"/>
          <cell r="AB33"/>
          <cell r="AF33"/>
        </row>
        <row r="34">
          <cell r="R34"/>
          <cell r="T34">
            <v>35.89</v>
          </cell>
          <cell r="V34">
            <v>28.19</v>
          </cell>
          <cell r="X34">
            <v>-5.2</v>
          </cell>
          <cell r="Z34">
            <v>-5.3138147558976829</v>
          </cell>
          <cell r="AB34"/>
          <cell r="AF34">
            <v>-0.2</v>
          </cell>
          <cell r="AL34">
            <v>-0.2</v>
          </cell>
        </row>
        <row r="35">
          <cell r="R35"/>
        </row>
        <row r="36">
          <cell r="R36"/>
          <cell r="X36"/>
          <cell r="Z36"/>
          <cell r="AB36"/>
          <cell r="AF36"/>
          <cell r="AH36"/>
          <cell r="AL36"/>
        </row>
        <row r="37">
          <cell r="R37" t="str">
            <v>R5</v>
          </cell>
          <cell r="T37">
            <v>60</v>
          </cell>
          <cell r="V37">
            <v>37.36</v>
          </cell>
          <cell r="X37">
            <v>0</v>
          </cell>
          <cell r="Z37">
            <v>0</v>
          </cell>
          <cell r="AB37">
            <v>0</v>
          </cell>
          <cell r="AF37">
            <v>0</v>
          </cell>
          <cell r="AH37">
            <v>0</v>
          </cell>
          <cell r="AL37">
            <v>0</v>
          </cell>
        </row>
        <row r="38">
          <cell r="R38" t="str">
            <v>R1</v>
          </cell>
          <cell r="T38">
            <v>55.54</v>
          </cell>
          <cell r="V38">
            <v>46.15</v>
          </cell>
          <cell r="X38">
            <v>0</v>
          </cell>
          <cell r="Z38">
            <v>0</v>
          </cell>
          <cell r="AB38">
            <v>0</v>
          </cell>
          <cell r="AF38">
            <v>0</v>
          </cell>
          <cell r="AH38">
            <v>0</v>
          </cell>
          <cell r="AL38">
            <v>0</v>
          </cell>
        </row>
        <row r="39">
          <cell r="R39" t="str">
            <v>R2</v>
          </cell>
          <cell r="T39">
            <v>55.17</v>
          </cell>
          <cell r="V39">
            <v>41.72</v>
          </cell>
          <cell r="X39">
            <v>0</v>
          </cell>
          <cell r="Z39">
            <v>0</v>
          </cell>
          <cell r="AB39">
            <v>0</v>
          </cell>
          <cell r="AF39">
            <v>0</v>
          </cell>
          <cell r="AH39">
            <v>0</v>
          </cell>
          <cell r="AL39">
            <v>0</v>
          </cell>
        </row>
        <row r="40">
          <cell r="R40" t="str">
            <v>R2.5</v>
          </cell>
          <cell r="T40">
            <v>55.24</v>
          </cell>
          <cell r="V40">
            <v>41.84</v>
          </cell>
          <cell r="X40">
            <v>0</v>
          </cell>
          <cell r="Z40">
            <v>0</v>
          </cell>
          <cell r="AB40">
            <v>0</v>
          </cell>
          <cell r="AF40">
            <v>0</v>
          </cell>
          <cell r="AH40">
            <v>0</v>
          </cell>
          <cell r="AL40">
            <v>0</v>
          </cell>
        </row>
        <row r="41">
          <cell r="R41" t="str">
            <v>R4</v>
          </cell>
          <cell r="T41">
            <v>54.61</v>
          </cell>
          <cell r="V41">
            <v>38.78</v>
          </cell>
          <cell r="X41">
            <v>0</v>
          </cell>
          <cell r="Z41">
            <v>0</v>
          </cell>
          <cell r="AB41">
            <v>0</v>
          </cell>
          <cell r="AF41">
            <v>0</v>
          </cell>
          <cell r="AH41">
            <v>0</v>
          </cell>
          <cell r="AL41">
            <v>0</v>
          </cell>
        </row>
        <row r="42">
          <cell r="R42" t="str">
            <v>R4</v>
          </cell>
          <cell r="T42">
            <v>64.760000000000005</v>
          </cell>
          <cell r="V42">
            <v>44.16</v>
          </cell>
          <cell r="X42">
            <v>0</v>
          </cell>
          <cell r="Z42">
            <v>0</v>
          </cell>
          <cell r="AB42">
            <v>0</v>
          </cell>
          <cell r="AF42">
            <v>0</v>
          </cell>
          <cell r="AH42">
            <v>0</v>
          </cell>
          <cell r="AL42">
            <v>0</v>
          </cell>
        </row>
        <row r="43">
          <cell r="R43" t="str">
            <v>R4</v>
          </cell>
          <cell r="T43">
            <v>49.83</v>
          </cell>
          <cell r="V43">
            <v>34.36</v>
          </cell>
          <cell r="X43">
            <v>0</v>
          </cell>
          <cell r="Z43">
            <v>0</v>
          </cell>
          <cell r="AB43">
            <v>0</v>
          </cell>
          <cell r="AF43">
            <v>0</v>
          </cell>
          <cell r="AH43">
            <v>0</v>
          </cell>
          <cell r="AL43">
            <v>0</v>
          </cell>
        </row>
        <row r="44">
          <cell r="R44" t="str">
            <v>R1.5</v>
          </cell>
          <cell r="T44">
            <v>50.73</v>
          </cell>
          <cell r="V44">
            <v>35.22</v>
          </cell>
          <cell r="X44">
            <v>0</v>
          </cell>
          <cell r="Z44">
            <v>0</v>
          </cell>
          <cell r="AB44">
            <v>0</v>
          </cell>
          <cell r="AF44">
            <v>0</v>
          </cell>
          <cell r="AH44">
            <v>0</v>
          </cell>
          <cell r="AL44">
            <v>0</v>
          </cell>
        </row>
        <row r="45">
          <cell r="R45" t="str">
            <v>R2.5</v>
          </cell>
          <cell r="T45">
            <v>45.18</v>
          </cell>
          <cell r="V45">
            <v>31.45</v>
          </cell>
          <cell r="X45">
            <v>0</v>
          </cell>
          <cell r="Z45">
            <v>0</v>
          </cell>
          <cell r="AB45">
            <v>0</v>
          </cell>
          <cell r="AF45">
            <v>0</v>
          </cell>
          <cell r="AH45">
            <v>0</v>
          </cell>
          <cell r="AL45">
            <v>0</v>
          </cell>
        </row>
        <row r="46">
          <cell r="R46" t="str">
            <v>S3</v>
          </cell>
          <cell r="T46">
            <v>46.63</v>
          </cell>
          <cell r="V46">
            <v>29.69</v>
          </cell>
          <cell r="X46">
            <v>0</v>
          </cell>
          <cell r="Z46">
            <v>0</v>
          </cell>
          <cell r="AB46">
            <v>0</v>
          </cell>
          <cell r="AF46">
            <v>0</v>
          </cell>
          <cell r="AH46">
            <v>0</v>
          </cell>
          <cell r="AL46">
            <v>0</v>
          </cell>
        </row>
        <row r="47">
          <cell r="R47" t="str">
            <v>S3</v>
          </cell>
          <cell r="T47">
            <v>60.05</v>
          </cell>
          <cell r="V47">
            <v>44.81</v>
          </cell>
          <cell r="X47">
            <v>0</v>
          </cell>
          <cell r="Z47">
            <v>0</v>
          </cell>
          <cell r="AB47">
            <v>0</v>
          </cell>
          <cell r="AF47">
            <v>0</v>
          </cell>
          <cell r="AH47">
            <v>0</v>
          </cell>
          <cell r="AL47">
            <v>0</v>
          </cell>
        </row>
        <row r="48">
          <cell r="R48" t="str">
            <v>L0.5</v>
          </cell>
          <cell r="T48">
            <v>20.39</v>
          </cell>
          <cell r="V48">
            <v>16.46</v>
          </cell>
          <cell r="X48">
            <v>0</v>
          </cell>
          <cell r="Z48">
            <v>0</v>
          </cell>
          <cell r="AB48">
            <v>0</v>
          </cell>
          <cell r="AF48">
            <v>0</v>
          </cell>
          <cell r="AH48">
            <v>0</v>
          </cell>
          <cell r="AL48">
            <v>0</v>
          </cell>
        </row>
        <row r="49">
          <cell r="R49" t="str">
            <v>R3</v>
          </cell>
          <cell r="T49">
            <v>49.38</v>
          </cell>
          <cell r="V49">
            <v>32.64</v>
          </cell>
          <cell r="X49">
            <v>0</v>
          </cell>
          <cell r="Z49">
            <v>0</v>
          </cell>
          <cell r="AB49">
            <v>0</v>
          </cell>
          <cell r="AF49">
            <v>0</v>
          </cell>
          <cell r="AH49">
            <v>0</v>
          </cell>
          <cell r="AL49">
            <v>0</v>
          </cell>
        </row>
        <row r="50">
          <cell r="R50"/>
          <cell r="T50">
            <v>50.03</v>
          </cell>
          <cell r="V50">
            <v>36</v>
          </cell>
          <cell r="X50">
            <v>0</v>
          </cell>
          <cell r="Z50">
            <v>0</v>
          </cell>
          <cell r="AB50"/>
          <cell r="AF50">
            <v>0</v>
          </cell>
          <cell r="AL50">
            <v>0</v>
          </cell>
        </row>
        <row r="51">
          <cell r="R51"/>
          <cell r="T51"/>
          <cell r="V51"/>
          <cell r="X51"/>
          <cell r="Z51"/>
          <cell r="AB51"/>
          <cell r="AF51"/>
          <cell r="AH51"/>
          <cell r="AL51"/>
        </row>
        <row r="52">
          <cell r="R52"/>
          <cell r="T52"/>
          <cell r="V52"/>
          <cell r="X52"/>
          <cell r="Z52"/>
          <cell r="AB52"/>
          <cell r="AF52"/>
          <cell r="AH52"/>
          <cell r="AL52"/>
        </row>
        <row r="53">
          <cell r="R53"/>
          <cell r="T53"/>
          <cell r="V53"/>
          <cell r="X53"/>
          <cell r="Z53"/>
          <cell r="AB53"/>
          <cell r="AF53"/>
          <cell r="AH53"/>
          <cell r="AL53"/>
        </row>
        <row r="54">
          <cell r="R54" t="str">
            <v>R3</v>
          </cell>
          <cell r="T54">
            <v>39.96</v>
          </cell>
          <cell r="V54">
            <v>33.19</v>
          </cell>
          <cell r="X54">
            <v>-5.9</v>
          </cell>
          <cell r="Z54">
            <v>-5</v>
          </cell>
          <cell r="AB54">
            <v>0.1</v>
          </cell>
          <cell r="AF54">
            <v>-25.1</v>
          </cell>
          <cell r="AH54">
            <v>0.1</v>
          </cell>
          <cell r="AL54">
            <v>-25.1</v>
          </cell>
        </row>
        <row r="55">
          <cell r="R55" t="str">
            <v>O2</v>
          </cell>
          <cell r="T55">
            <v>20.22</v>
          </cell>
          <cell r="V55">
            <v>12.25</v>
          </cell>
          <cell r="X55">
            <v>17.100000000000001</v>
          </cell>
          <cell r="Z55">
            <v>15</v>
          </cell>
          <cell r="AB55">
            <v>21.7</v>
          </cell>
          <cell r="AF55">
            <v>18.8</v>
          </cell>
          <cell r="AH55">
            <v>21.7</v>
          </cell>
          <cell r="AL55">
            <v>18.8</v>
          </cell>
        </row>
        <row r="56">
          <cell r="R56" t="str">
            <v>L2</v>
          </cell>
          <cell r="T56">
            <v>8.11</v>
          </cell>
          <cell r="V56">
            <v>4.41</v>
          </cell>
          <cell r="X56">
            <v>17.2</v>
          </cell>
          <cell r="Z56">
            <v>15</v>
          </cell>
          <cell r="AB56">
            <v>21.7</v>
          </cell>
          <cell r="AF56">
            <v>18.8</v>
          </cell>
          <cell r="AH56">
            <v>21.7</v>
          </cell>
          <cell r="AL56">
            <v>18.8</v>
          </cell>
        </row>
        <row r="57">
          <cell r="R57" t="str">
            <v>L1.5</v>
          </cell>
          <cell r="T57">
            <v>8.15</v>
          </cell>
          <cell r="V57">
            <v>4.51</v>
          </cell>
          <cell r="X57">
            <v>17.600000000000001</v>
          </cell>
          <cell r="Z57">
            <v>15</v>
          </cell>
          <cell r="AB57">
            <v>21.7</v>
          </cell>
          <cell r="AF57">
            <v>18.8</v>
          </cell>
          <cell r="AH57">
            <v>21.7</v>
          </cell>
          <cell r="AL57">
            <v>18.8</v>
          </cell>
        </row>
        <row r="58">
          <cell r="R58" t="str">
            <v>L2</v>
          </cell>
          <cell r="T58">
            <v>9.33</v>
          </cell>
          <cell r="V58">
            <v>4.29</v>
          </cell>
          <cell r="X58">
            <v>18</v>
          </cell>
          <cell r="Z58">
            <v>15</v>
          </cell>
          <cell r="AB58">
            <v>21.7</v>
          </cell>
          <cell r="AF58">
            <v>18.8</v>
          </cell>
          <cell r="AH58">
            <v>21.7</v>
          </cell>
          <cell r="AL58">
            <v>18.8</v>
          </cell>
        </row>
        <row r="59">
          <cell r="R59" t="str">
            <v>L1.5</v>
          </cell>
          <cell r="T59">
            <v>13.79</v>
          </cell>
          <cell r="V59">
            <v>7.88</v>
          </cell>
          <cell r="X59">
            <v>18</v>
          </cell>
          <cell r="Z59">
            <v>15</v>
          </cell>
          <cell r="AB59">
            <v>21.7</v>
          </cell>
          <cell r="AF59">
            <v>18.8</v>
          </cell>
          <cell r="AH59">
            <v>21.7</v>
          </cell>
          <cell r="AL59">
            <v>18.8</v>
          </cell>
        </row>
        <row r="60">
          <cell r="R60" t="str">
            <v>S2</v>
          </cell>
          <cell r="T60">
            <v>13.39</v>
          </cell>
          <cell r="V60">
            <v>7.18</v>
          </cell>
          <cell r="X60">
            <v>16.8</v>
          </cell>
          <cell r="Z60">
            <v>15</v>
          </cell>
          <cell r="AB60">
            <v>21.7</v>
          </cell>
          <cell r="AF60">
            <v>18.8</v>
          </cell>
          <cell r="AH60">
            <v>21.7</v>
          </cell>
          <cell r="AL60">
            <v>18.8</v>
          </cell>
        </row>
        <row r="61">
          <cell r="R61" t="str">
            <v>L2</v>
          </cell>
          <cell r="T61">
            <v>15.02</v>
          </cell>
          <cell r="V61">
            <v>11.5</v>
          </cell>
          <cell r="X61">
            <v>15</v>
          </cell>
          <cell r="Z61">
            <v>15</v>
          </cell>
          <cell r="AB61">
            <v>21.7</v>
          </cell>
          <cell r="AF61">
            <v>18.8</v>
          </cell>
          <cell r="AH61">
            <v>21.7</v>
          </cell>
          <cell r="AL61">
            <v>18.8</v>
          </cell>
        </row>
        <row r="62">
          <cell r="R62" t="str">
            <v>L1.5</v>
          </cell>
          <cell r="T62">
            <v>14.5</v>
          </cell>
          <cell r="V62">
            <v>8.4499999999999993</v>
          </cell>
          <cell r="X62">
            <v>15</v>
          </cell>
          <cell r="Z62">
            <v>15</v>
          </cell>
          <cell r="AB62">
            <v>21.7</v>
          </cell>
          <cell r="AF62">
            <v>18.8</v>
          </cell>
          <cell r="AH62">
            <v>21.7</v>
          </cell>
          <cell r="AL62">
            <v>18.8</v>
          </cell>
        </row>
        <row r="63">
          <cell r="R63" t="str">
            <v>S2</v>
          </cell>
          <cell r="T63">
            <v>13.24</v>
          </cell>
          <cell r="V63">
            <v>8.1199999999999992</v>
          </cell>
          <cell r="X63">
            <v>15.2</v>
          </cell>
          <cell r="Z63">
            <v>15</v>
          </cell>
          <cell r="AB63">
            <v>21.7</v>
          </cell>
          <cell r="AF63">
            <v>18.8</v>
          </cell>
          <cell r="AH63">
            <v>21.7</v>
          </cell>
          <cell r="AL63">
            <v>18.8</v>
          </cell>
        </row>
        <row r="64">
          <cell r="R64" t="str">
            <v>L2</v>
          </cell>
          <cell r="T64">
            <v>25.55</v>
          </cell>
          <cell r="V64">
            <v>17.559999999999999</v>
          </cell>
          <cell r="X64">
            <v>15.299999999999999</v>
          </cell>
          <cell r="Z64">
            <v>15</v>
          </cell>
          <cell r="AB64">
            <v>21.7</v>
          </cell>
          <cell r="AF64">
            <v>18.8</v>
          </cell>
          <cell r="AH64">
            <v>21.7</v>
          </cell>
          <cell r="AL64">
            <v>18.8</v>
          </cell>
        </row>
        <row r="65">
          <cell r="R65" t="str">
            <v>L2</v>
          </cell>
          <cell r="T65">
            <v>15.13</v>
          </cell>
          <cell r="V65">
            <v>11.85</v>
          </cell>
          <cell r="X65">
            <v>1</v>
          </cell>
          <cell r="Z65">
            <v>0</v>
          </cell>
          <cell r="AB65">
            <v>3.6</v>
          </cell>
          <cell r="AF65">
            <v>2.2999999999999998</v>
          </cell>
          <cell r="AH65">
            <v>3.6</v>
          </cell>
          <cell r="AL65">
            <v>2.2999999999999998</v>
          </cell>
        </row>
        <row r="66">
          <cell r="R66" t="str">
            <v>S3</v>
          </cell>
          <cell r="T66">
            <v>20.02</v>
          </cell>
          <cell r="V66">
            <v>14.15</v>
          </cell>
          <cell r="X66">
            <v>0</v>
          </cell>
          <cell r="Z66">
            <v>0</v>
          </cell>
          <cell r="AB66">
            <v>0</v>
          </cell>
          <cell r="AF66">
            <v>0</v>
          </cell>
          <cell r="AH66">
            <v>0</v>
          </cell>
          <cell r="AL66">
            <v>0</v>
          </cell>
        </row>
        <row r="67">
          <cell r="R67"/>
          <cell r="T67">
            <v>24.2</v>
          </cell>
          <cell r="V67">
            <v>18.600000000000001</v>
          </cell>
          <cell r="X67">
            <v>2.6</v>
          </cell>
          <cell r="Z67">
            <v>-0.3</v>
          </cell>
          <cell r="AB67"/>
          <cell r="AF67">
            <v>11.899999999999999</v>
          </cell>
          <cell r="AL67">
            <v>11.899999999999999</v>
          </cell>
        </row>
        <row r="68">
          <cell r="T68"/>
          <cell r="V68"/>
          <cell r="X68"/>
          <cell r="Z68"/>
          <cell r="AB68"/>
          <cell r="AF68"/>
          <cell r="AH68"/>
          <cell r="AL68"/>
        </row>
        <row r="69">
          <cell r="R69"/>
          <cell r="T69"/>
          <cell r="V69"/>
          <cell r="X69"/>
          <cell r="Z69"/>
          <cell r="AB69"/>
          <cell r="AF69"/>
          <cell r="AH69"/>
          <cell r="AL69"/>
        </row>
        <row r="70">
          <cell r="R70" t="str">
            <v>SQ</v>
          </cell>
          <cell r="T70">
            <v>24</v>
          </cell>
          <cell r="V70">
            <v>16.29</v>
          </cell>
          <cell r="X70">
            <v>0</v>
          </cell>
          <cell r="Z70">
            <v>0</v>
          </cell>
          <cell r="AB70"/>
          <cell r="AF70"/>
          <cell r="AH70"/>
          <cell r="AL70">
            <v>0</v>
          </cell>
        </row>
        <row r="71">
          <cell r="R71" t="str">
            <v>SQ</v>
          </cell>
          <cell r="T71">
            <v>5</v>
          </cell>
          <cell r="V71">
            <v>2.46</v>
          </cell>
          <cell r="X71">
            <v>0</v>
          </cell>
          <cell r="Z71">
            <v>0</v>
          </cell>
          <cell r="AB71"/>
          <cell r="AF71"/>
          <cell r="AH71"/>
          <cell r="AL71">
            <v>0</v>
          </cell>
        </row>
        <row r="72">
          <cell r="R72" t="str">
            <v>SQ</v>
          </cell>
          <cell r="T72">
            <v>15</v>
          </cell>
          <cell r="V72">
            <v>8.1999999999999993</v>
          </cell>
          <cell r="X72">
            <v>0</v>
          </cell>
          <cell r="Z72">
            <v>0</v>
          </cell>
          <cell r="AB72"/>
          <cell r="AF72"/>
          <cell r="AH72"/>
          <cell r="AL72">
            <v>0</v>
          </cell>
        </row>
        <row r="73">
          <cell r="R73" t="str">
            <v>SQ</v>
          </cell>
          <cell r="T73">
            <v>17</v>
          </cell>
          <cell r="V73">
            <v>9.99</v>
          </cell>
          <cell r="X73">
            <v>0</v>
          </cell>
          <cell r="Z73">
            <v>0</v>
          </cell>
          <cell r="AB73"/>
          <cell r="AF73"/>
          <cell r="AH73"/>
          <cell r="AL73">
            <v>0</v>
          </cell>
        </row>
        <row r="74">
          <cell r="R74" t="str">
            <v>SQ</v>
          </cell>
          <cell r="T74">
            <v>17</v>
          </cell>
          <cell r="V74">
            <v>9</v>
          </cell>
          <cell r="X74">
            <v>0</v>
          </cell>
          <cell r="Z74">
            <v>0</v>
          </cell>
          <cell r="AB74"/>
          <cell r="AF74"/>
          <cell r="AH74"/>
          <cell r="AL74">
            <v>0</v>
          </cell>
        </row>
        <row r="75">
          <cell r="R75" t="str">
            <v>SQ</v>
          </cell>
          <cell r="T75">
            <v>15</v>
          </cell>
          <cell r="V75">
            <v>9.8699999999999992</v>
          </cell>
          <cell r="X75">
            <v>0</v>
          </cell>
          <cell r="Z75">
            <v>0</v>
          </cell>
          <cell r="AB75"/>
          <cell r="AF75"/>
          <cell r="AH75"/>
          <cell r="AL75">
            <v>0</v>
          </cell>
        </row>
        <row r="76">
          <cell r="R76" t="str">
            <v>SQ</v>
          </cell>
          <cell r="T76">
            <v>20</v>
          </cell>
          <cell r="V76">
            <v>11.65</v>
          </cell>
          <cell r="X76">
            <v>0</v>
          </cell>
          <cell r="Z76">
            <v>0</v>
          </cell>
          <cell r="AB76"/>
          <cell r="AF76"/>
          <cell r="AH76"/>
          <cell r="AL76">
            <v>0</v>
          </cell>
        </row>
        <row r="77">
          <cell r="R77"/>
          <cell r="T77">
            <v>10.98</v>
          </cell>
          <cell r="V77">
            <v>6.71</v>
          </cell>
          <cell r="X77">
            <v>0</v>
          </cell>
          <cell r="Z77">
            <v>0</v>
          </cell>
          <cell r="AB77"/>
          <cell r="AF77">
            <v>0</v>
          </cell>
          <cell r="AL77">
            <v>0</v>
          </cell>
        </row>
        <row r="78">
          <cell r="T78"/>
          <cell r="V78"/>
          <cell r="X78"/>
          <cell r="Z78"/>
          <cell r="AB78"/>
          <cell r="AF78"/>
        </row>
        <row r="79">
          <cell r="T79">
            <v>16.440000000000001</v>
          </cell>
          <cell r="V79">
            <v>11.62</v>
          </cell>
          <cell r="X79">
            <v>1.4</v>
          </cell>
          <cell r="Z79">
            <v>-0.2</v>
          </cell>
          <cell r="AB79"/>
          <cell r="AF79">
            <v>4.3999999999999995</v>
          </cell>
          <cell r="AL79">
            <v>4.3999999999999995</v>
          </cell>
        </row>
        <row r="80">
          <cell r="T80"/>
          <cell r="V80"/>
          <cell r="X80"/>
          <cell r="Z80"/>
          <cell r="AB80"/>
          <cell r="AF80"/>
        </row>
        <row r="81">
          <cell r="T81">
            <v>36.9</v>
          </cell>
          <cell r="V81">
            <v>24.77</v>
          </cell>
          <cell r="X81">
            <v>-5.0999999999999996</v>
          </cell>
          <cell r="Z81">
            <v>-5.8000000000000007</v>
          </cell>
          <cell r="AB81">
            <v>0</v>
          </cell>
          <cell r="AF81">
            <v>0</v>
          </cell>
          <cell r="AH81">
            <v>0</v>
          </cell>
          <cell r="AL81">
            <v>0</v>
          </cell>
        </row>
        <row r="82">
          <cell r="T82"/>
          <cell r="V82"/>
          <cell r="X82"/>
          <cell r="Z82"/>
          <cell r="AB82"/>
          <cell r="AF82"/>
        </row>
        <row r="83">
          <cell r="R83"/>
          <cell r="T83"/>
          <cell r="V83"/>
          <cell r="X83"/>
          <cell r="Z83"/>
          <cell r="AB83"/>
          <cell r="AF83"/>
          <cell r="AH83"/>
          <cell r="AL83"/>
        </row>
        <row r="84">
          <cell r="R84">
            <v>0</v>
          </cell>
          <cell r="T84">
            <v>50.03</v>
          </cell>
          <cell r="V84">
            <v>36</v>
          </cell>
          <cell r="X84">
            <v>-4.8</v>
          </cell>
          <cell r="Z84">
            <v>-5</v>
          </cell>
          <cell r="AB84">
            <v>19.3</v>
          </cell>
          <cell r="AF84">
            <v>-2.9</v>
          </cell>
          <cell r="AH84">
            <v>29.4</v>
          </cell>
          <cell r="AL84">
            <v>-4.4000000000000004</v>
          </cell>
        </row>
        <row r="85">
          <cell r="R85"/>
          <cell r="T85">
            <v>50.03</v>
          </cell>
          <cell r="V85">
            <v>36</v>
          </cell>
          <cell r="X85">
            <v>-4.8</v>
          </cell>
          <cell r="Z85">
            <v>-5.4544743092256116</v>
          </cell>
          <cell r="AB85"/>
          <cell r="AF85">
            <v>-0.2</v>
          </cell>
          <cell r="AL85">
            <v>-0.2</v>
          </cell>
        </row>
        <row r="86">
          <cell r="T86"/>
          <cell r="V86"/>
          <cell r="X86"/>
          <cell r="Z86"/>
          <cell r="AB86"/>
          <cell r="AF86"/>
        </row>
        <row r="87">
          <cell r="T87">
            <v>29.43</v>
          </cell>
          <cell r="V87">
            <v>27.04</v>
          </cell>
          <cell r="X87">
            <v>-5.0999999999999996</v>
          </cell>
          <cell r="Z87">
            <v>-5.6000000000000005</v>
          </cell>
          <cell r="AB87"/>
          <cell r="AF87">
            <v>-1.0999999999999999</v>
          </cell>
          <cell r="AL87">
            <v>-1.0999999999999999</v>
          </cell>
        </row>
        <row r="88">
          <cell r="T88"/>
          <cell r="V88"/>
          <cell r="X88"/>
          <cell r="Z88"/>
          <cell r="AB88"/>
          <cell r="AF88"/>
        </row>
        <row r="89">
          <cell r="T89"/>
          <cell r="V89"/>
          <cell r="X89"/>
          <cell r="Z89"/>
          <cell r="AB89"/>
          <cell r="AF89"/>
        </row>
        <row r="90">
          <cell r="T90"/>
          <cell r="V90"/>
          <cell r="X90"/>
          <cell r="Z90"/>
          <cell r="AB90"/>
          <cell r="AF90"/>
        </row>
        <row r="91">
          <cell r="R91"/>
          <cell r="T91">
            <v>0</v>
          </cell>
          <cell r="V91">
            <v>0</v>
          </cell>
          <cell r="X91">
            <v>0</v>
          </cell>
          <cell r="Z91">
            <v>0</v>
          </cell>
          <cell r="AB91"/>
          <cell r="AF91"/>
          <cell r="AH91"/>
          <cell r="AL91"/>
        </row>
        <row r="92">
          <cell r="R92"/>
          <cell r="T92">
            <v>28.98</v>
          </cell>
          <cell r="V92">
            <v>16.149999999999999</v>
          </cell>
          <cell r="X92">
            <v>-4.7</v>
          </cell>
          <cell r="Z92">
            <v>-4.8444639676382097</v>
          </cell>
          <cell r="AB92"/>
          <cell r="AF92"/>
          <cell r="AH92"/>
          <cell r="AL92"/>
        </row>
        <row r="93">
          <cell r="R93"/>
          <cell r="T93">
            <v>35.840000000000003</v>
          </cell>
          <cell r="V93">
            <v>16.14</v>
          </cell>
          <cell r="X93">
            <v>-5.5</v>
          </cell>
          <cell r="Z93">
            <v>-4.8407822676406598</v>
          </cell>
          <cell r="AB93"/>
          <cell r="AF93"/>
          <cell r="AH93"/>
          <cell r="AL93"/>
        </row>
        <row r="94">
          <cell r="R94"/>
          <cell r="T94">
            <v>31.67</v>
          </cell>
          <cell r="V94">
            <v>16.14</v>
          </cell>
          <cell r="X94">
            <v>-4.2</v>
          </cell>
          <cell r="Z94">
            <v>-4.8095605154909427</v>
          </cell>
          <cell r="AB94"/>
          <cell r="AF94"/>
          <cell r="AH94"/>
          <cell r="AL94"/>
        </row>
        <row r="95">
          <cell r="R95"/>
          <cell r="T95">
            <v>21.71</v>
          </cell>
          <cell r="V95">
            <v>16.149999999999999</v>
          </cell>
          <cell r="X95">
            <v>-4.0999999999999996</v>
          </cell>
          <cell r="Z95">
            <v>-4.8409648871094833</v>
          </cell>
          <cell r="AB95"/>
          <cell r="AF95"/>
          <cell r="AH95"/>
          <cell r="AL95"/>
        </row>
        <row r="96">
          <cell r="R96"/>
          <cell r="T96">
            <v>30.04</v>
          </cell>
          <cell r="V96">
            <v>16.149999999999999</v>
          </cell>
          <cell r="X96">
            <v>-4.4000000000000004</v>
          </cell>
          <cell r="Z96">
            <v>-4.6482981206262455</v>
          </cell>
          <cell r="AB96"/>
          <cell r="AF96"/>
          <cell r="AH96"/>
          <cell r="AL96"/>
        </row>
        <row r="97">
          <cell r="R97"/>
          <cell r="T97">
            <v>33.83</v>
          </cell>
          <cell r="V97">
            <v>16.14</v>
          </cell>
          <cell r="X97">
            <v>-5.2</v>
          </cell>
          <cell r="Z97">
            <v>-4.8296612033995201</v>
          </cell>
          <cell r="AB97"/>
          <cell r="AF97">
            <v>-8.9</v>
          </cell>
          <cell r="AL97">
            <v>-8.9</v>
          </cell>
        </row>
        <row r="98">
          <cell r="T98"/>
          <cell r="V98"/>
          <cell r="X98"/>
          <cell r="Z98"/>
          <cell r="AB98"/>
          <cell r="AF98"/>
        </row>
        <row r="99">
          <cell r="T99"/>
          <cell r="V99"/>
          <cell r="X99"/>
          <cell r="Z99"/>
          <cell r="AB99"/>
          <cell r="AF99"/>
        </row>
        <row r="100">
          <cell r="R100">
            <v>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  <cell r="AF100">
            <v>0</v>
          </cell>
          <cell r="AH100">
            <v>0</v>
          </cell>
          <cell r="AL100">
            <v>0</v>
          </cell>
        </row>
        <row r="101">
          <cell r="R101" t="str">
            <v>200-SC</v>
          </cell>
          <cell r="T101">
            <v>28.98</v>
          </cell>
          <cell r="V101">
            <v>16.149999999999999</v>
          </cell>
          <cell r="X101">
            <v>-4.5</v>
          </cell>
          <cell r="Z101">
            <v>-4.5999999999999996</v>
          </cell>
          <cell r="AB101">
            <v>0</v>
          </cell>
          <cell r="AF101">
            <v>0</v>
          </cell>
          <cell r="AH101">
            <v>0</v>
          </cell>
          <cell r="AL101">
            <v>0</v>
          </cell>
        </row>
        <row r="102">
          <cell r="R102" t="str">
            <v>200-SC</v>
          </cell>
          <cell r="T102">
            <v>35.79</v>
          </cell>
          <cell r="V102">
            <v>16.14</v>
          </cell>
          <cell r="X102">
            <v>-6.1</v>
          </cell>
          <cell r="Z102">
            <v>-4.5999999999999996</v>
          </cell>
          <cell r="AB102">
            <v>1.8</v>
          </cell>
          <cell r="AF102">
            <v>-19.5</v>
          </cell>
          <cell r="AH102">
            <v>1.8</v>
          </cell>
          <cell r="AL102">
            <v>-19.5</v>
          </cell>
        </row>
        <row r="103">
          <cell r="R103" t="str">
            <v>200-SC</v>
          </cell>
          <cell r="T103">
            <v>30.68</v>
          </cell>
          <cell r="V103">
            <v>16.14</v>
          </cell>
          <cell r="X103">
            <v>-3.9</v>
          </cell>
          <cell r="Z103">
            <v>-4.5999999999999996</v>
          </cell>
          <cell r="AB103">
            <v>0</v>
          </cell>
          <cell r="AF103">
            <v>0</v>
          </cell>
          <cell r="AH103">
            <v>0</v>
          </cell>
          <cell r="AL103">
            <v>0</v>
          </cell>
        </row>
        <row r="104">
          <cell r="R104" t="str">
            <v>200-SC</v>
          </cell>
          <cell r="T104">
            <v>21.93</v>
          </cell>
          <cell r="V104">
            <v>16.149999999999999</v>
          </cell>
          <cell r="X104">
            <v>-3.6000000000000005</v>
          </cell>
          <cell r="Z104">
            <v>-4.5999999999999996</v>
          </cell>
          <cell r="AB104">
            <v>0</v>
          </cell>
          <cell r="AF104">
            <v>0</v>
          </cell>
          <cell r="AH104">
            <v>0</v>
          </cell>
          <cell r="AL104">
            <v>0</v>
          </cell>
        </row>
        <row r="105">
          <cell r="R105" t="str">
            <v>200-SC</v>
          </cell>
          <cell r="T105">
            <v>29.95</v>
          </cell>
          <cell r="V105">
            <v>16.149999999999999</v>
          </cell>
          <cell r="X105">
            <v>-4.2</v>
          </cell>
          <cell r="Z105">
            <v>-4.3999999999999995</v>
          </cell>
          <cell r="AB105">
            <v>0</v>
          </cell>
          <cell r="AF105">
            <v>0</v>
          </cell>
          <cell r="AH105">
            <v>0</v>
          </cell>
          <cell r="AL105">
            <v>0</v>
          </cell>
        </row>
        <row r="106">
          <cell r="R106"/>
          <cell r="T106">
            <v>33.630000000000003</v>
          </cell>
          <cell r="V106">
            <v>16.14</v>
          </cell>
          <cell r="X106">
            <v>-5.5</v>
          </cell>
          <cell r="Z106">
            <v>-4.5926532377105138</v>
          </cell>
          <cell r="AB106"/>
          <cell r="AF106">
            <v>-13.5</v>
          </cell>
          <cell r="AL106">
            <v>-13.5</v>
          </cell>
        </row>
        <row r="107">
          <cell r="T107"/>
          <cell r="V107"/>
          <cell r="X107"/>
          <cell r="Z107"/>
          <cell r="AB107"/>
          <cell r="AF107"/>
        </row>
        <row r="108">
          <cell r="T108"/>
          <cell r="V108"/>
          <cell r="X108"/>
          <cell r="Z108"/>
          <cell r="AB108"/>
          <cell r="AF108"/>
        </row>
        <row r="109">
          <cell r="R109">
            <v>0</v>
          </cell>
          <cell r="T109">
            <v>0</v>
          </cell>
          <cell r="V109">
            <v>0</v>
          </cell>
          <cell r="X109">
            <v>0</v>
          </cell>
          <cell r="Z109">
            <v>0</v>
          </cell>
          <cell r="AB109">
            <v>0</v>
          </cell>
          <cell r="AF109">
            <v>0</v>
          </cell>
          <cell r="AH109">
            <v>0</v>
          </cell>
          <cell r="AL109">
            <v>0</v>
          </cell>
        </row>
        <row r="110">
          <cell r="R110" t="str">
            <v>200-SC</v>
          </cell>
          <cell r="T110">
            <v>28.97</v>
          </cell>
          <cell r="V110">
            <v>16.149999999999999</v>
          </cell>
          <cell r="X110">
            <v>-4.9000000000000004</v>
          </cell>
          <cell r="Z110">
            <v>-5.0999999999999996</v>
          </cell>
          <cell r="AB110">
            <v>0</v>
          </cell>
          <cell r="AF110">
            <v>0</v>
          </cell>
          <cell r="AH110">
            <v>0</v>
          </cell>
          <cell r="AL110">
            <v>0</v>
          </cell>
        </row>
        <row r="111">
          <cell r="R111" t="str">
            <v>200-SC</v>
          </cell>
          <cell r="T111">
            <v>35.9</v>
          </cell>
          <cell r="V111">
            <v>16.14</v>
          </cell>
          <cell r="X111">
            <v>-4.8</v>
          </cell>
          <cell r="Z111">
            <v>-5.0999999999999996</v>
          </cell>
          <cell r="AB111">
            <v>0</v>
          </cell>
          <cell r="AF111">
            <v>0</v>
          </cell>
          <cell r="AH111">
            <v>0</v>
          </cell>
          <cell r="AL111">
            <v>0</v>
          </cell>
        </row>
        <row r="112">
          <cell r="R112" t="str">
            <v>200-SC</v>
          </cell>
          <cell r="T112">
            <v>33.159999999999997</v>
          </cell>
          <cell r="V112">
            <v>16.14</v>
          </cell>
          <cell r="X112">
            <v>-4.7</v>
          </cell>
          <cell r="Z112">
            <v>-5.0999999999999996</v>
          </cell>
          <cell r="AB112">
            <v>0</v>
          </cell>
          <cell r="AF112">
            <v>0</v>
          </cell>
          <cell r="AH112">
            <v>0</v>
          </cell>
          <cell r="AL112">
            <v>0</v>
          </cell>
        </row>
        <row r="113">
          <cell r="R113" t="str">
            <v>200-SC</v>
          </cell>
          <cell r="T113">
            <v>21.47</v>
          </cell>
          <cell r="V113">
            <v>16.149999999999999</v>
          </cell>
          <cell r="X113">
            <v>-4.7</v>
          </cell>
          <cell r="Z113">
            <v>-5.0999999999999996</v>
          </cell>
          <cell r="AB113">
            <v>0</v>
          </cell>
          <cell r="AF113">
            <v>0</v>
          </cell>
          <cell r="AH113">
            <v>0</v>
          </cell>
          <cell r="AL113">
            <v>0</v>
          </cell>
        </row>
        <row r="114">
          <cell r="R114" t="str">
            <v>200-SC</v>
          </cell>
          <cell r="T114">
            <v>30.14</v>
          </cell>
          <cell r="V114">
            <v>16.149999999999999</v>
          </cell>
          <cell r="X114">
            <v>-4.7</v>
          </cell>
          <cell r="Z114">
            <v>-4.9000000000000004</v>
          </cell>
          <cell r="AB114">
            <v>0</v>
          </cell>
          <cell r="AF114">
            <v>0</v>
          </cell>
          <cell r="AH114">
            <v>0</v>
          </cell>
          <cell r="AL114">
            <v>0</v>
          </cell>
        </row>
        <row r="115">
          <cell r="R115"/>
          <cell r="T115">
            <v>34.06</v>
          </cell>
          <cell r="V115">
            <v>16.14</v>
          </cell>
          <cell r="X115">
            <v>-4.8</v>
          </cell>
          <cell r="Z115">
            <v>-5.0919786548517862</v>
          </cell>
          <cell r="AB115"/>
          <cell r="AF115">
            <v>0</v>
          </cell>
          <cell r="AL115">
            <v>0</v>
          </cell>
        </row>
        <row r="116">
          <cell r="T116"/>
          <cell r="V116"/>
          <cell r="X116"/>
          <cell r="Z116"/>
          <cell r="AB116"/>
          <cell r="AF116"/>
        </row>
        <row r="117">
          <cell r="T117"/>
          <cell r="V117"/>
          <cell r="X117"/>
          <cell r="Z117"/>
          <cell r="AB117"/>
          <cell r="AF117"/>
        </row>
        <row r="118">
          <cell r="R118"/>
          <cell r="T118">
            <v>51.25</v>
          </cell>
          <cell r="V118">
            <v>15.17</v>
          </cell>
          <cell r="X118">
            <v>-4.7</v>
          </cell>
          <cell r="Z118">
            <v>-4.7</v>
          </cell>
          <cell r="AB118"/>
          <cell r="AF118"/>
          <cell r="AH118"/>
          <cell r="AL118"/>
        </row>
        <row r="119">
          <cell r="R119"/>
          <cell r="T119">
            <v>32.54</v>
          </cell>
          <cell r="V119">
            <v>13.56</v>
          </cell>
          <cell r="X119">
            <v>-4.8</v>
          </cell>
          <cell r="Z119">
            <v>-4.8724176522565665</v>
          </cell>
          <cell r="AB119"/>
          <cell r="AF119"/>
          <cell r="AH119"/>
          <cell r="AL119"/>
        </row>
        <row r="120">
          <cell r="R120"/>
          <cell r="T120">
            <v>28.93</v>
          </cell>
          <cell r="V120">
            <v>10.66</v>
          </cell>
          <cell r="X120">
            <v>-4.5999999999999996</v>
          </cell>
          <cell r="Z120">
            <v>-4.8977539443831004</v>
          </cell>
          <cell r="AB120"/>
          <cell r="AF120"/>
          <cell r="AH120"/>
          <cell r="AL120"/>
        </row>
        <row r="121">
          <cell r="R121"/>
          <cell r="T121">
            <v>29.14</v>
          </cell>
          <cell r="V121">
            <v>10.119999999999999</v>
          </cell>
          <cell r="X121">
            <v>-4.5999999999999996</v>
          </cell>
          <cell r="Z121">
            <v>-4.9076980128780656</v>
          </cell>
          <cell r="AB121"/>
          <cell r="AF121"/>
          <cell r="AH121"/>
          <cell r="AL121"/>
        </row>
        <row r="122">
          <cell r="R122"/>
          <cell r="T122">
            <v>23.29</v>
          </cell>
          <cell r="V122">
            <v>10.77</v>
          </cell>
          <cell r="X122">
            <v>-4.8</v>
          </cell>
          <cell r="Z122">
            <v>-4.8709568763234286</v>
          </cell>
          <cell r="AB122"/>
          <cell r="AF122"/>
          <cell r="AH122"/>
          <cell r="AL122"/>
        </row>
        <row r="123">
          <cell r="R123"/>
          <cell r="T123">
            <v>29.26</v>
          </cell>
          <cell r="V123">
            <v>14.34</v>
          </cell>
          <cell r="X123">
            <v>-4.7</v>
          </cell>
          <cell r="Z123">
            <v>-4.69851777000693</v>
          </cell>
          <cell r="AB123"/>
          <cell r="AF123"/>
          <cell r="AH123"/>
          <cell r="AL123"/>
        </row>
        <row r="124">
          <cell r="R124"/>
          <cell r="T124">
            <v>28.67</v>
          </cell>
          <cell r="V124">
            <v>11.04</v>
          </cell>
          <cell r="X124">
            <v>-4.5999999999999996</v>
          </cell>
          <cell r="Z124">
            <v>-4.8870513111187996</v>
          </cell>
          <cell r="AB124"/>
          <cell r="AF124">
            <v>1</v>
          </cell>
          <cell r="AL124">
            <v>1</v>
          </cell>
        </row>
        <row r="125">
          <cell r="T125"/>
          <cell r="V125"/>
          <cell r="X125"/>
          <cell r="Z125"/>
          <cell r="AB125"/>
          <cell r="AF125"/>
        </row>
        <row r="126">
          <cell r="T126"/>
          <cell r="V126"/>
          <cell r="X126"/>
          <cell r="Z126"/>
          <cell r="AB126"/>
          <cell r="AF126"/>
        </row>
        <row r="127">
          <cell r="R127">
            <v>0</v>
          </cell>
          <cell r="T127">
            <v>0</v>
          </cell>
          <cell r="V127">
            <v>0</v>
          </cell>
          <cell r="X127">
            <v>0</v>
          </cell>
          <cell r="Z127">
            <v>0</v>
          </cell>
          <cell r="AB127">
            <v>0</v>
          </cell>
          <cell r="AF127">
            <v>0</v>
          </cell>
          <cell r="AH127">
            <v>0</v>
          </cell>
          <cell r="AL127">
            <v>0</v>
          </cell>
        </row>
        <row r="128">
          <cell r="R128" t="str">
            <v>200-SC</v>
          </cell>
          <cell r="T128">
            <v>36.65</v>
          </cell>
          <cell r="V128">
            <v>4.47</v>
          </cell>
          <cell r="X128">
            <v>-4.8</v>
          </cell>
          <cell r="Z128">
            <v>-4.8</v>
          </cell>
          <cell r="AB128">
            <v>0</v>
          </cell>
          <cell r="AF128">
            <v>0</v>
          </cell>
          <cell r="AH128">
            <v>0</v>
          </cell>
          <cell r="AL128">
            <v>0</v>
          </cell>
        </row>
        <row r="129">
          <cell r="R129" t="str">
            <v>200-SC</v>
          </cell>
          <cell r="T129">
            <v>21.07</v>
          </cell>
          <cell r="V129">
            <v>4.47</v>
          </cell>
          <cell r="X129">
            <v>-4.8</v>
          </cell>
          <cell r="Z129">
            <v>-4.8</v>
          </cell>
          <cell r="AB129">
            <v>-0.5</v>
          </cell>
          <cell r="AF129">
            <v>-4.9000000000000004</v>
          </cell>
          <cell r="AH129">
            <v>-0.5</v>
          </cell>
          <cell r="AL129">
            <v>-4.9000000000000004</v>
          </cell>
        </row>
        <row r="130">
          <cell r="R130" t="str">
            <v>200-SC</v>
          </cell>
          <cell r="T130">
            <v>20.9</v>
          </cell>
          <cell r="V130">
            <v>4.47</v>
          </cell>
          <cell r="X130">
            <v>-4.4000000000000004</v>
          </cell>
          <cell r="Z130">
            <v>-4.8</v>
          </cell>
          <cell r="AB130">
            <v>2.4</v>
          </cell>
          <cell r="AF130">
            <v>-1</v>
          </cell>
          <cell r="AH130">
            <v>2.4</v>
          </cell>
          <cell r="AL130">
            <v>-1</v>
          </cell>
        </row>
        <row r="131">
          <cell r="R131" t="str">
            <v>200-SC</v>
          </cell>
          <cell r="T131">
            <v>13.49</v>
          </cell>
          <cell r="V131">
            <v>4.47</v>
          </cell>
          <cell r="X131">
            <v>-4.5999999999999996</v>
          </cell>
          <cell r="Z131">
            <v>-4.8</v>
          </cell>
          <cell r="AB131">
            <v>-0.1</v>
          </cell>
          <cell r="AF131">
            <v>-0.6</v>
          </cell>
          <cell r="AH131">
            <v>-0.1</v>
          </cell>
          <cell r="AL131">
            <v>-0.6</v>
          </cell>
        </row>
        <row r="132">
          <cell r="R132" t="str">
            <v>200-SC</v>
          </cell>
          <cell r="T132">
            <v>38.450000000000003</v>
          </cell>
          <cell r="V132">
            <v>4.47</v>
          </cell>
          <cell r="X132">
            <v>-4.7</v>
          </cell>
          <cell r="Z132">
            <v>-4.7</v>
          </cell>
          <cell r="AB132">
            <v>1.7</v>
          </cell>
          <cell r="AF132">
            <v>-4</v>
          </cell>
          <cell r="AH132">
            <v>1.7</v>
          </cell>
          <cell r="AL132">
            <v>-4</v>
          </cell>
        </row>
        <row r="133">
          <cell r="R133"/>
          <cell r="T133">
            <v>20.83</v>
          </cell>
          <cell r="V133">
            <v>4.47</v>
          </cell>
          <cell r="X133">
            <v>-4.7</v>
          </cell>
          <cell r="Z133">
            <v>-4.7988580650628618</v>
          </cell>
          <cell r="AB133"/>
          <cell r="AF133">
            <v>-3.3000000000000003</v>
          </cell>
          <cell r="AL133">
            <v>-3.3000000000000003</v>
          </cell>
        </row>
        <row r="134">
          <cell r="T134"/>
          <cell r="V134"/>
          <cell r="X134"/>
          <cell r="Z134"/>
          <cell r="AB134"/>
          <cell r="AF134"/>
        </row>
        <row r="135">
          <cell r="T135"/>
          <cell r="V135"/>
          <cell r="X135"/>
          <cell r="Z135"/>
          <cell r="AB135"/>
          <cell r="AF135"/>
        </row>
        <row r="136">
          <cell r="R136">
            <v>0</v>
          </cell>
          <cell r="T136">
            <v>0</v>
          </cell>
          <cell r="V136">
            <v>0</v>
          </cell>
          <cell r="X136">
            <v>0</v>
          </cell>
          <cell r="Z136">
            <v>0</v>
          </cell>
          <cell r="AB136">
            <v>0</v>
          </cell>
          <cell r="AF136">
            <v>0</v>
          </cell>
          <cell r="AH136">
            <v>0</v>
          </cell>
          <cell r="AL136">
            <v>0</v>
          </cell>
        </row>
        <row r="137">
          <cell r="R137" t="str">
            <v>200-SC</v>
          </cell>
          <cell r="T137">
            <v>39.369999999999997</v>
          </cell>
          <cell r="V137">
            <v>15.18</v>
          </cell>
          <cell r="X137">
            <v>-5</v>
          </cell>
          <cell r="Z137">
            <v>-5.2</v>
          </cell>
          <cell r="AB137">
            <v>0</v>
          </cell>
          <cell r="AF137">
            <v>0</v>
          </cell>
          <cell r="AH137">
            <v>0</v>
          </cell>
          <cell r="AL137">
            <v>0</v>
          </cell>
        </row>
        <row r="138">
          <cell r="R138" t="str">
            <v>200-SC</v>
          </cell>
          <cell r="T138">
            <v>36.22</v>
          </cell>
          <cell r="V138">
            <v>15.18</v>
          </cell>
          <cell r="X138">
            <v>-4.7</v>
          </cell>
          <cell r="Z138">
            <v>-5.2</v>
          </cell>
          <cell r="AB138">
            <v>0.3</v>
          </cell>
          <cell r="AF138">
            <v>4.9000000000000004</v>
          </cell>
          <cell r="AH138">
            <v>0.3</v>
          </cell>
          <cell r="AL138">
            <v>4.9000000000000004</v>
          </cell>
        </row>
        <row r="139">
          <cell r="R139" t="str">
            <v>200-SC</v>
          </cell>
          <cell r="T139">
            <v>35.06</v>
          </cell>
          <cell r="V139">
            <v>15.18</v>
          </cell>
          <cell r="X139">
            <v>-5.0999999999999996</v>
          </cell>
          <cell r="Z139">
            <v>-5.2</v>
          </cell>
          <cell r="AB139">
            <v>0</v>
          </cell>
          <cell r="AF139">
            <v>0</v>
          </cell>
          <cell r="AH139">
            <v>0</v>
          </cell>
          <cell r="AL139">
            <v>0</v>
          </cell>
        </row>
        <row r="140">
          <cell r="R140" t="str">
            <v>200-SC</v>
          </cell>
          <cell r="T140">
            <v>32.96</v>
          </cell>
          <cell r="V140">
            <v>15.18</v>
          </cell>
          <cell r="X140">
            <v>-5</v>
          </cell>
          <cell r="Z140">
            <v>-5.2</v>
          </cell>
          <cell r="AB140">
            <v>0</v>
          </cell>
          <cell r="AF140">
            <v>-0.6</v>
          </cell>
          <cell r="AH140">
            <v>0</v>
          </cell>
          <cell r="AL140">
            <v>-0.6</v>
          </cell>
        </row>
        <row r="141">
          <cell r="R141" t="str">
            <v>200-SC</v>
          </cell>
          <cell r="T141">
            <v>45.75</v>
          </cell>
          <cell r="V141">
            <v>15.17</v>
          </cell>
          <cell r="X141">
            <v>-4.8</v>
          </cell>
          <cell r="Z141">
            <v>-4.9000000000000004</v>
          </cell>
          <cell r="AB141">
            <v>1.6</v>
          </cell>
          <cell r="AF141">
            <v>-3.6</v>
          </cell>
          <cell r="AH141">
            <v>1.6</v>
          </cell>
          <cell r="AL141">
            <v>-3.6</v>
          </cell>
        </row>
        <row r="142">
          <cell r="R142"/>
          <cell r="T142">
            <v>35.950000000000003</v>
          </cell>
          <cell r="V142">
            <v>15.18</v>
          </cell>
          <cell r="X142">
            <v>-4.8</v>
          </cell>
          <cell r="Z142">
            <v>-5.1960619528756613</v>
          </cell>
          <cell r="AB142"/>
          <cell r="AF142">
            <v>3.6999999999999997</v>
          </cell>
          <cell r="AL142">
            <v>3.6999999999999997</v>
          </cell>
        </row>
        <row r="143">
          <cell r="T143"/>
          <cell r="V143"/>
          <cell r="X143"/>
          <cell r="Z143"/>
          <cell r="AB143"/>
          <cell r="AF143"/>
        </row>
        <row r="144">
          <cell r="T144"/>
          <cell r="V144"/>
          <cell r="X144"/>
          <cell r="Z144"/>
          <cell r="AB144"/>
          <cell r="AF144"/>
        </row>
        <row r="145">
          <cell r="R145">
            <v>0</v>
          </cell>
          <cell r="T145">
            <v>0</v>
          </cell>
          <cell r="V145">
            <v>0</v>
          </cell>
          <cell r="X145">
            <v>0</v>
          </cell>
          <cell r="Z145">
            <v>0</v>
          </cell>
          <cell r="AB145">
            <v>0</v>
          </cell>
          <cell r="AF145">
            <v>0</v>
          </cell>
          <cell r="AH145">
            <v>0</v>
          </cell>
          <cell r="AL145">
            <v>0</v>
          </cell>
        </row>
        <row r="146">
          <cell r="R146" t="str">
            <v>200-SC</v>
          </cell>
          <cell r="T146">
            <v>44.24</v>
          </cell>
          <cell r="V146">
            <v>15.18</v>
          </cell>
          <cell r="X146">
            <v>-4.5999999999999996</v>
          </cell>
          <cell r="Z146">
            <v>-4.7</v>
          </cell>
          <cell r="AB146">
            <v>0</v>
          </cell>
          <cell r="AF146">
            <v>0</v>
          </cell>
          <cell r="AH146">
            <v>0</v>
          </cell>
          <cell r="AL146">
            <v>0</v>
          </cell>
        </row>
        <row r="147">
          <cell r="R147" t="str">
            <v>200-SC</v>
          </cell>
          <cell r="T147">
            <v>35.4</v>
          </cell>
          <cell r="V147">
            <v>15.18</v>
          </cell>
          <cell r="X147">
            <v>-4</v>
          </cell>
          <cell r="Z147">
            <v>-4.7</v>
          </cell>
          <cell r="AB147">
            <v>0</v>
          </cell>
          <cell r="AF147">
            <v>5.3</v>
          </cell>
          <cell r="AH147">
            <v>0</v>
          </cell>
          <cell r="AL147">
            <v>5.3</v>
          </cell>
        </row>
        <row r="148">
          <cell r="R148" t="str">
            <v>200-SC</v>
          </cell>
          <cell r="T148">
            <v>40.090000000000003</v>
          </cell>
          <cell r="V148">
            <v>15.18</v>
          </cell>
          <cell r="X148">
            <v>-4.3</v>
          </cell>
          <cell r="Z148">
            <v>-4.7</v>
          </cell>
          <cell r="AB148">
            <v>0</v>
          </cell>
          <cell r="AF148">
            <v>0</v>
          </cell>
          <cell r="AH148">
            <v>0</v>
          </cell>
          <cell r="AL148">
            <v>0</v>
          </cell>
        </row>
        <row r="149">
          <cell r="R149" t="str">
            <v>200-SC</v>
          </cell>
          <cell r="T149">
            <v>38.19</v>
          </cell>
          <cell r="V149">
            <v>15.18</v>
          </cell>
          <cell r="X149">
            <v>-5.0999999999999996</v>
          </cell>
          <cell r="Z149">
            <v>-4.7</v>
          </cell>
          <cell r="AB149">
            <v>0</v>
          </cell>
          <cell r="AF149">
            <v>0.3</v>
          </cell>
          <cell r="AH149">
            <v>0</v>
          </cell>
          <cell r="AL149">
            <v>0.3</v>
          </cell>
        </row>
        <row r="150">
          <cell r="R150" t="str">
            <v>200-SC</v>
          </cell>
          <cell r="T150">
            <v>46.9</v>
          </cell>
          <cell r="V150">
            <v>15.18</v>
          </cell>
          <cell r="X150">
            <v>-5.5</v>
          </cell>
          <cell r="Z150">
            <v>-4.5</v>
          </cell>
          <cell r="AB150">
            <v>-0.1</v>
          </cell>
          <cell r="AF150">
            <v>0.3</v>
          </cell>
          <cell r="AH150">
            <v>-0.1</v>
          </cell>
          <cell r="AL150">
            <v>0.3</v>
          </cell>
        </row>
        <row r="151">
          <cell r="R151"/>
          <cell r="T151">
            <v>37.090000000000003</v>
          </cell>
          <cell r="V151">
            <v>15.18</v>
          </cell>
          <cell r="X151">
            <v>-4.2</v>
          </cell>
          <cell r="Z151">
            <v>-4.6974606664390475</v>
          </cell>
          <cell r="AB151"/>
          <cell r="AF151">
            <v>4.7</v>
          </cell>
          <cell r="AL151">
            <v>4.7</v>
          </cell>
        </row>
        <row r="152">
          <cell r="T152"/>
          <cell r="V152"/>
          <cell r="X152"/>
          <cell r="Z152"/>
          <cell r="AB152"/>
          <cell r="AF152"/>
        </row>
        <row r="153">
          <cell r="T153"/>
          <cell r="V153"/>
          <cell r="X153"/>
          <cell r="Z153"/>
          <cell r="AB153"/>
          <cell r="AF153"/>
        </row>
        <row r="154">
          <cell r="R154" t="str">
            <v>200-SC</v>
          </cell>
          <cell r="T154">
            <v>51.25</v>
          </cell>
          <cell r="V154">
            <v>15.17</v>
          </cell>
          <cell r="X154">
            <v>-4.7</v>
          </cell>
          <cell r="Z154">
            <v>-4.7</v>
          </cell>
          <cell r="AB154">
            <v>0</v>
          </cell>
          <cell r="AF154">
            <v>0</v>
          </cell>
          <cell r="AH154">
            <v>0</v>
          </cell>
          <cell r="AL154">
            <v>0</v>
          </cell>
        </row>
        <row r="155">
          <cell r="R155" t="str">
            <v>200-SC</v>
          </cell>
          <cell r="T155">
            <v>27.94</v>
          </cell>
          <cell r="V155">
            <v>15.19</v>
          </cell>
          <cell r="X155">
            <v>-4.8</v>
          </cell>
          <cell r="Z155">
            <v>-4.9000000000000004</v>
          </cell>
          <cell r="AB155">
            <v>0</v>
          </cell>
          <cell r="AF155">
            <v>-0.8</v>
          </cell>
          <cell r="AH155">
            <v>0</v>
          </cell>
          <cell r="AL155">
            <v>-0.8</v>
          </cell>
        </row>
        <row r="156">
          <cell r="R156" t="str">
            <v>200-SC</v>
          </cell>
          <cell r="T156">
            <v>27.58</v>
          </cell>
          <cell r="V156">
            <v>15.19</v>
          </cell>
          <cell r="X156">
            <v>-5.3</v>
          </cell>
          <cell r="Z156">
            <v>-4.9000000000000004</v>
          </cell>
          <cell r="AB156">
            <v>-4.0999999999999996</v>
          </cell>
          <cell r="AF156">
            <v>-24.9</v>
          </cell>
          <cell r="AH156">
            <v>-4.0999999999999996</v>
          </cell>
          <cell r="AL156">
            <v>-24.9</v>
          </cell>
        </row>
        <row r="157">
          <cell r="R157" t="str">
            <v>200-SC</v>
          </cell>
          <cell r="T157">
            <v>19.12</v>
          </cell>
          <cell r="V157">
            <v>15.2</v>
          </cell>
          <cell r="X157">
            <v>-4.8</v>
          </cell>
          <cell r="Z157">
            <v>-4.9000000000000004</v>
          </cell>
          <cell r="AB157">
            <v>0</v>
          </cell>
          <cell r="AF157">
            <v>0</v>
          </cell>
          <cell r="AH157">
            <v>0</v>
          </cell>
          <cell r="AL157">
            <v>0</v>
          </cell>
        </row>
        <row r="158">
          <cell r="R158" t="str">
            <v>200-SC</v>
          </cell>
          <cell r="T158">
            <v>20.77</v>
          </cell>
          <cell r="V158">
            <v>15.2</v>
          </cell>
          <cell r="X158">
            <v>-4.5999999999999996</v>
          </cell>
          <cell r="Z158">
            <v>-4.9000000000000004</v>
          </cell>
          <cell r="AB158">
            <v>22.4</v>
          </cell>
          <cell r="AF158">
            <v>11.3</v>
          </cell>
          <cell r="AH158">
            <v>22.4</v>
          </cell>
          <cell r="AL158">
            <v>11.3</v>
          </cell>
        </row>
        <row r="159">
          <cell r="R159" t="str">
            <v>200-SC</v>
          </cell>
          <cell r="T159">
            <v>25.02</v>
          </cell>
          <cell r="V159">
            <v>15.19</v>
          </cell>
          <cell r="X159">
            <v>-4.5999999999999996</v>
          </cell>
          <cell r="Z159">
            <v>-4.7</v>
          </cell>
          <cell r="AB159">
            <v>0.7</v>
          </cell>
          <cell r="AF159">
            <v>0.7</v>
          </cell>
          <cell r="AH159">
            <v>0.7</v>
          </cell>
          <cell r="AL159">
            <v>0.7</v>
          </cell>
        </row>
        <row r="160">
          <cell r="R160"/>
          <cell r="T160">
            <v>26.13</v>
          </cell>
          <cell r="V160">
            <v>15.19</v>
          </cell>
          <cell r="X160">
            <v>-4.9000000000000004</v>
          </cell>
          <cell r="Z160">
            <v>-4.8739422093648912</v>
          </cell>
          <cell r="AB160"/>
          <cell r="AF160">
            <v>-4.5999999999999996</v>
          </cell>
          <cell r="AL160">
            <v>-4.5999999999999996</v>
          </cell>
        </row>
        <row r="161">
          <cell r="R161"/>
          <cell r="T161"/>
          <cell r="V161"/>
          <cell r="X161"/>
          <cell r="Z161"/>
          <cell r="AB161"/>
          <cell r="AF161"/>
        </row>
        <row r="162">
          <cell r="T162"/>
          <cell r="V162"/>
          <cell r="X162"/>
          <cell r="Z162"/>
          <cell r="AB162"/>
          <cell r="AF162"/>
        </row>
        <row r="163">
          <cell r="R163"/>
          <cell r="T163">
            <v>0</v>
          </cell>
          <cell r="V163">
            <v>0</v>
          </cell>
          <cell r="X163">
            <v>0</v>
          </cell>
          <cell r="Z163">
            <v>0</v>
          </cell>
          <cell r="AB163"/>
          <cell r="AF163"/>
          <cell r="AH163"/>
          <cell r="AL163"/>
        </row>
        <row r="164">
          <cell r="R164"/>
          <cell r="T164">
            <v>28.84</v>
          </cell>
          <cell r="V164">
            <v>12.3</v>
          </cell>
          <cell r="X164">
            <v>-7.4000000000000012</v>
          </cell>
          <cell r="Z164">
            <v>-7.9085139617380662</v>
          </cell>
          <cell r="AB164"/>
          <cell r="AF164"/>
          <cell r="AH164"/>
          <cell r="AL164"/>
        </row>
        <row r="165">
          <cell r="R165"/>
          <cell r="T165">
            <v>25.11</v>
          </cell>
          <cell r="V165">
            <v>12.3</v>
          </cell>
          <cell r="X165">
            <v>-9.9</v>
          </cell>
          <cell r="Z165">
            <v>-9.6836806526475829</v>
          </cell>
          <cell r="AB165"/>
          <cell r="AF165"/>
          <cell r="AH165"/>
          <cell r="AL165"/>
        </row>
        <row r="166">
          <cell r="R166"/>
          <cell r="T166">
            <v>28.61</v>
          </cell>
          <cell r="V166">
            <v>12.3</v>
          </cell>
          <cell r="X166">
            <v>-7.4000000000000012</v>
          </cell>
          <cell r="Z166">
            <v>-8</v>
          </cell>
          <cell r="AB166"/>
          <cell r="AF166"/>
          <cell r="AH166"/>
          <cell r="AL166"/>
        </row>
        <row r="167">
          <cell r="R167"/>
          <cell r="T167">
            <v>25.55</v>
          </cell>
          <cell r="V167">
            <v>12.3</v>
          </cell>
          <cell r="X167">
            <v>-7.5</v>
          </cell>
          <cell r="Z167">
            <v>-8</v>
          </cell>
          <cell r="AB167"/>
          <cell r="AF167"/>
          <cell r="AH167"/>
          <cell r="AL167"/>
        </row>
        <row r="168">
          <cell r="R168"/>
          <cell r="T168">
            <v>26.25</v>
          </cell>
          <cell r="V168">
            <v>12.3</v>
          </cell>
          <cell r="X168">
            <v>-6.7</v>
          </cell>
          <cell r="Z168">
            <v>-7.6083220414469865</v>
          </cell>
          <cell r="AB168"/>
          <cell r="AF168"/>
          <cell r="AH168"/>
          <cell r="AL168"/>
        </row>
        <row r="169">
          <cell r="R169"/>
          <cell r="T169">
            <v>25.98</v>
          </cell>
          <cell r="V169">
            <v>12.3</v>
          </cell>
          <cell r="X169">
            <v>-9.1</v>
          </cell>
          <cell r="Z169">
            <v>-9.1452152176866033</v>
          </cell>
          <cell r="AB169"/>
          <cell r="AF169">
            <v>-8.9</v>
          </cell>
          <cell r="AL169">
            <v>-8.9</v>
          </cell>
        </row>
        <row r="170">
          <cell r="T170"/>
          <cell r="V170"/>
          <cell r="X170"/>
          <cell r="Z170"/>
          <cell r="AB170"/>
          <cell r="AF170"/>
        </row>
        <row r="171">
          <cell r="T171"/>
          <cell r="V171"/>
          <cell r="X171"/>
          <cell r="Z171"/>
          <cell r="AB171"/>
          <cell r="AF171"/>
        </row>
        <row r="172">
          <cell r="R172">
            <v>0</v>
          </cell>
          <cell r="T172">
            <v>0</v>
          </cell>
          <cell r="V172">
            <v>0</v>
          </cell>
          <cell r="X172">
            <v>0</v>
          </cell>
          <cell r="Z172">
            <v>0</v>
          </cell>
          <cell r="AB172">
            <v>0</v>
          </cell>
          <cell r="AF172">
            <v>0</v>
          </cell>
          <cell r="AH172">
            <v>0</v>
          </cell>
          <cell r="AL172">
            <v>0</v>
          </cell>
        </row>
        <row r="173">
          <cell r="R173" t="str">
            <v>200-SC</v>
          </cell>
          <cell r="T173">
            <v>29.28</v>
          </cell>
          <cell r="V173">
            <v>12.3</v>
          </cell>
          <cell r="X173">
            <v>-7.5</v>
          </cell>
          <cell r="Z173">
            <v>-8</v>
          </cell>
          <cell r="AB173">
            <v>0</v>
          </cell>
          <cell r="AF173">
            <v>0</v>
          </cell>
          <cell r="AH173">
            <v>0</v>
          </cell>
          <cell r="AL173">
            <v>0</v>
          </cell>
        </row>
        <row r="174">
          <cell r="R174" t="str">
            <v>200-SC</v>
          </cell>
          <cell r="T174">
            <v>25.4</v>
          </cell>
          <cell r="V174">
            <v>12.3</v>
          </cell>
          <cell r="X174">
            <v>-8.6</v>
          </cell>
          <cell r="Z174">
            <v>-8</v>
          </cell>
          <cell r="AB174">
            <v>3</v>
          </cell>
          <cell r="AF174">
            <v>-12.1</v>
          </cell>
          <cell r="AH174">
            <v>3</v>
          </cell>
          <cell r="AL174">
            <v>-12.1</v>
          </cell>
        </row>
        <row r="175">
          <cell r="R175" t="str">
            <v>200-SC</v>
          </cell>
          <cell r="T175">
            <v>28.61</v>
          </cell>
          <cell r="V175">
            <v>12.3</v>
          </cell>
          <cell r="X175">
            <v>-7.4000000000000012</v>
          </cell>
          <cell r="Z175">
            <v>-8</v>
          </cell>
          <cell r="AB175">
            <v>0</v>
          </cell>
          <cell r="AF175">
            <v>0</v>
          </cell>
          <cell r="AH175">
            <v>0</v>
          </cell>
          <cell r="AL175">
            <v>0</v>
          </cell>
        </row>
        <row r="176">
          <cell r="R176" t="str">
            <v>200-SC</v>
          </cell>
          <cell r="T176">
            <v>25.55</v>
          </cell>
          <cell r="V176">
            <v>12.3</v>
          </cell>
          <cell r="X176">
            <v>-7.5</v>
          </cell>
          <cell r="Z176">
            <v>-8</v>
          </cell>
          <cell r="AB176">
            <v>0</v>
          </cell>
          <cell r="AF176">
            <v>0</v>
          </cell>
          <cell r="AH176">
            <v>0</v>
          </cell>
          <cell r="AL176">
            <v>0</v>
          </cell>
        </row>
        <row r="177">
          <cell r="R177" t="str">
            <v>200-SC</v>
          </cell>
          <cell r="T177">
            <v>26.97</v>
          </cell>
          <cell r="V177">
            <v>12.3</v>
          </cell>
          <cell r="X177">
            <v>-6.8000000000000007</v>
          </cell>
          <cell r="Z177">
            <v>-7.8</v>
          </cell>
          <cell r="AB177">
            <v>0</v>
          </cell>
          <cell r="AF177">
            <v>0</v>
          </cell>
          <cell r="AH177">
            <v>0</v>
          </cell>
          <cell r="AL177">
            <v>0</v>
          </cell>
        </row>
        <row r="178">
          <cell r="R178"/>
          <cell r="T178">
            <v>26.25</v>
          </cell>
          <cell r="V178">
            <v>12.3</v>
          </cell>
          <cell r="X178">
            <v>-8.2000000000000011</v>
          </cell>
          <cell r="Z178">
            <v>-7.9981937295071956</v>
          </cell>
          <cell r="AB178"/>
          <cell r="AF178">
            <v>-9.9</v>
          </cell>
          <cell r="AL178">
            <v>-9.9</v>
          </cell>
        </row>
        <row r="179">
          <cell r="T179"/>
          <cell r="V179"/>
          <cell r="X179"/>
          <cell r="Z179"/>
          <cell r="AB179"/>
          <cell r="AF179"/>
        </row>
        <row r="180">
          <cell r="T180"/>
          <cell r="V180"/>
          <cell r="X180"/>
          <cell r="Z180"/>
          <cell r="AB180"/>
          <cell r="AF180"/>
        </row>
        <row r="181">
          <cell r="R181">
            <v>0</v>
          </cell>
          <cell r="T181">
            <v>0</v>
          </cell>
          <cell r="V181">
            <v>0</v>
          </cell>
          <cell r="X181">
            <v>0</v>
          </cell>
          <cell r="Z181">
            <v>0</v>
          </cell>
          <cell r="AB181">
            <v>0</v>
          </cell>
          <cell r="AF181">
            <v>0</v>
          </cell>
          <cell r="AH181">
            <v>0</v>
          </cell>
          <cell r="AL181">
            <v>0</v>
          </cell>
        </row>
        <row r="182">
          <cell r="R182" t="str">
            <v>200-SC</v>
          </cell>
          <cell r="T182">
            <v>12.79</v>
          </cell>
          <cell r="V182">
            <v>12.3</v>
          </cell>
          <cell r="X182">
            <v>-0.2</v>
          </cell>
          <cell r="Z182">
            <v>-0.2</v>
          </cell>
          <cell r="AB182">
            <v>0</v>
          </cell>
          <cell r="AF182">
            <v>0</v>
          </cell>
          <cell r="AH182">
            <v>0</v>
          </cell>
          <cell r="AL182">
            <v>0</v>
          </cell>
        </row>
        <row r="183">
          <cell r="R183" t="str">
            <v>200-SC</v>
          </cell>
          <cell r="T183">
            <v>20.75</v>
          </cell>
          <cell r="V183">
            <v>12.3</v>
          </cell>
          <cell r="X183">
            <v>-35.799999999999997</v>
          </cell>
          <cell r="Z183">
            <v>-40.300000000000004</v>
          </cell>
          <cell r="AB183">
            <v>85.2</v>
          </cell>
          <cell r="AF183">
            <v>78.599999999999994</v>
          </cell>
          <cell r="AH183">
            <v>85.2</v>
          </cell>
          <cell r="AL183">
            <v>78.599999999999994</v>
          </cell>
        </row>
        <row r="184">
          <cell r="R184">
            <v>0</v>
          </cell>
          <cell r="T184">
            <v>0</v>
          </cell>
          <cell r="V184">
            <v>0</v>
          </cell>
          <cell r="X184">
            <v>0</v>
          </cell>
          <cell r="Z184">
            <v>0</v>
          </cell>
          <cell r="AB184">
            <v>0</v>
          </cell>
          <cell r="AF184">
            <v>0</v>
          </cell>
          <cell r="AH184">
            <v>0</v>
          </cell>
          <cell r="AL184">
            <v>0</v>
          </cell>
        </row>
        <row r="185">
          <cell r="R185">
            <v>0</v>
          </cell>
          <cell r="T185">
            <v>0</v>
          </cell>
          <cell r="V185">
            <v>0</v>
          </cell>
          <cell r="X185">
            <v>0</v>
          </cell>
          <cell r="Z185">
            <v>0</v>
          </cell>
          <cell r="AB185">
            <v>0</v>
          </cell>
          <cell r="AF185">
            <v>0</v>
          </cell>
          <cell r="AH185">
            <v>0</v>
          </cell>
          <cell r="AL185">
            <v>0</v>
          </cell>
        </row>
        <row r="186">
          <cell r="R186" t="str">
            <v>200-SC</v>
          </cell>
          <cell r="T186">
            <v>12.79</v>
          </cell>
          <cell r="V186">
            <v>12.3</v>
          </cell>
          <cell r="X186">
            <v>0</v>
          </cell>
          <cell r="Z186">
            <v>0</v>
          </cell>
          <cell r="AB186">
            <v>0</v>
          </cell>
          <cell r="AF186">
            <v>0</v>
          </cell>
          <cell r="AH186">
            <v>0</v>
          </cell>
          <cell r="AL186">
            <v>0</v>
          </cell>
        </row>
        <row r="187">
          <cell r="R187"/>
          <cell r="T187">
            <v>20.41</v>
          </cell>
          <cell r="V187">
            <v>12.3</v>
          </cell>
          <cell r="X187">
            <v>-34.9</v>
          </cell>
          <cell r="Z187">
            <v>-39.238584389772413</v>
          </cell>
          <cell r="AB187"/>
          <cell r="AF187">
            <v>78.600000000000009</v>
          </cell>
          <cell r="AL187">
            <v>78.600000000000009</v>
          </cell>
        </row>
        <row r="188">
          <cell r="T188"/>
          <cell r="V188"/>
          <cell r="X188"/>
          <cell r="Z188"/>
          <cell r="AB188"/>
          <cell r="AF188"/>
        </row>
        <row r="189">
          <cell r="T189"/>
          <cell r="V189"/>
          <cell r="X189"/>
          <cell r="Z189"/>
          <cell r="AB189"/>
          <cell r="AF189"/>
        </row>
        <row r="190">
          <cell r="R190"/>
          <cell r="T190">
            <v>43</v>
          </cell>
          <cell r="V190">
            <v>18.809999999999999</v>
          </cell>
          <cell r="X190">
            <v>0</v>
          </cell>
          <cell r="Z190">
            <v>0</v>
          </cell>
          <cell r="AB190"/>
          <cell r="AF190"/>
          <cell r="AH190"/>
          <cell r="AL190"/>
        </row>
        <row r="191">
          <cell r="R191"/>
          <cell r="T191">
            <v>37.200000000000003</v>
          </cell>
          <cell r="V191">
            <v>22.18</v>
          </cell>
          <cell r="X191">
            <v>-10.6</v>
          </cell>
          <cell r="Z191">
            <v>-12.945118527856735</v>
          </cell>
          <cell r="AB191"/>
          <cell r="AF191"/>
          <cell r="AH191"/>
          <cell r="AL191"/>
        </row>
        <row r="192">
          <cell r="R192"/>
          <cell r="T192">
            <v>48.69</v>
          </cell>
          <cell r="V192">
            <v>31.72</v>
          </cell>
          <cell r="X192">
            <v>-9</v>
          </cell>
          <cell r="Z192">
            <v>-9.9580012933556823</v>
          </cell>
          <cell r="AB192"/>
          <cell r="AF192"/>
          <cell r="AH192"/>
          <cell r="AL192"/>
        </row>
        <row r="193">
          <cell r="R193"/>
          <cell r="T193">
            <v>45.66</v>
          </cell>
          <cell r="V193">
            <v>32.409999999999997</v>
          </cell>
          <cell r="X193">
            <v>-3.9</v>
          </cell>
          <cell r="Z193">
            <v>-3.768247595744576</v>
          </cell>
          <cell r="AB193"/>
          <cell r="AF193"/>
          <cell r="AH193"/>
          <cell r="AL193"/>
        </row>
        <row r="194">
          <cell r="R194"/>
          <cell r="T194">
            <v>53</v>
          </cell>
          <cell r="V194">
            <v>30.58</v>
          </cell>
          <cell r="X194">
            <v>-5.3</v>
          </cell>
          <cell r="Z194">
            <v>-5.4417595630679907</v>
          </cell>
          <cell r="AB194"/>
          <cell r="AF194"/>
          <cell r="AH194"/>
          <cell r="AL194"/>
        </row>
        <row r="195">
          <cell r="R195"/>
          <cell r="T195">
            <v>44.94</v>
          </cell>
          <cell r="V195">
            <v>29.44</v>
          </cell>
          <cell r="X195">
            <v>-5</v>
          </cell>
          <cell r="Z195">
            <v>-5.7955344583407555</v>
          </cell>
          <cell r="AB195"/>
          <cell r="AF195"/>
          <cell r="AH195"/>
          <cell r="AL195"/>
        </row>
        <row r="196">
          <cell r="R196"/>
          <cell r="T196">
            <v>46.44</v>
          </cell>
          <cell r="V196">
            <v>30.06</v>
          </cell>
          <cell r="X196">
            <v>-8</v>
          </cell>
          <cell r="Z196">
            <v>-8.9137874306142351</v>
          </cell>
          <cell r="AB196"/>
          <cell r="AF196">
            <v>-3.8</v>
          </cell>
          <cell r="AL196">
            <v>-3.8</v>
          </cell>
        </row>
        <row r="197">
          <cell r="T197"/>
          <cell r="V197"/>
          <cell r="X197"/>
          <cell r="Z197"/>
          <cell r="AB197"/>
          <cell r="AF197"/>
        </row>
        <row r="198">
          <cell r="T198"/>
          <cell r="V198"/>
          <cell r="X198"/>
          <cell r="Z198"/>
          <cell r="AB198"/>
          <cell r="AF198"/>
        </row>
        <row r="199">
          <cell r="R199">
            <v>0</v>
          </cell>
          <cell r="T199">
            <v>0</v>
          </cell>
          <cell r="V199">
            <v>0</v>
          </cell>
          <cell r="X199">
            <v>0</v>
          </cell>
          <cell r="Z199">
            <v>0</v>
          </cell>
          <cell r="AB199">
            <v>0</v>
          </cell>
          <cell r="AF199">
            <v>0</v>
          </cell>
          <cell r="AH199">
            <v>0</v>
          </cell>
          <cell r="AL199">
            <v>0</v>
          </cell>
        </row>
        <row r="200">
          <cell r="R200" t="str">
            <v>200-SC</v>
          </cell>
          <cell r="T200">
            <v>46.47</v>
          </cell>
          <cell r="V200">
            <v>29.28</v>
          </cell>
          <cell r="X200">
            <v>-2.5</v>
          </cell>
          <cell r="Z200">
            <v>-3.3000000000000003</v>
          </cell>
          <cell r="AB200">
            <v>0</v>
          </cell>
          <cell r="AF200">
            <v>0</v>
          </cell>
          <cell r="AH200">
            <v>0</v>
          </cell>
          <cell r="AL200">
            <v>0</v>
          </cell>
        </row>
        <row r="201">
          <cell r="R201" t="str">
            <v>200-SC</v>
          </cell>
          <cell r="T201">
            <v>48.19</v>
          </cell>
          <cell r="V201">
            <v>29.27</v>
          </cell>
          <cell r="X201">
            <v>-2.5</v>
          </cell>
          <cell r="Z201">
            <v>-3.3000000000000003</v>
          </cell>
          <cell r="AB201">
            <v>0</v>
          </cell>
          <cell r="AF201">
            <v>0</v>
          </cell>
          <cell r="AH201">
            <v>0</v>
          </cell>
          <cell r="AL201">
            <v>0</v>
          </cell>
        </row>
        <row r="202">
          <cell r="R202" t="str">
            <v>200-SC</v>
          </cell>
          <cell r="T202">
            <v>48.45</v>
          </cell>
          <cell r="V202">
            <v>29.27</v>
          </cell>
          <cell r="X202">
            <v>-2.5</v>
          </cell>
          <cell r="Z202">
            <v>-3.3000000000000003</v>
          </cell>
          <cell r="AB202">
            <v>0</v>
          </cell>
          <cell r="AF202">
            <v>0</v>
          </cell>
          <cell r="AH202">
            <v>0</v>
          </cell>
          <cell r="AL202">
            <v>0</v>
          </cell>
        </row>
        <row r="203">
          <cell r="R203" t="str">
            <v>200-SC</v>
          </cell>
          <cell r="T203">
            <v>54.33</v>
          </cell>
          <cell r="V203">
            <v>29.25</v>
          </cell>
          <cell r="X203">
            <v>-3.1</v>
          </cell>
          <cell r="Z203">
            <v>-3.3000000000000003</v>
          </cell>
          <cell r="AB203">
            <v>0</v>
          </cell>
          <cell r="AF203">
            <v>0</v>
          </cell>
          <cell r="AH203">
            <v>0</v>
          </cell>
          <cell r="AL203">
            <v>0</v>
          </cell>
        </row>
        <row r="204">
          <cell r="R204" t="str">
            <v>200-SC</v>
          </cell>
          <cell r="T204">
            <v>44.88</v>
          </cell>
          <cell r="V204">
            <v>29.28</v>
          </cell>
          <cell r="X204">
            <v>-2</v>
          </cell>
          <cell r="Z204">
            <v>-2.9000000000000004</v>
          </cell>
          <cell r="AB204">
            <v>0</v>
          </cell>
          <cell r="AF204">
            <v>0</v>
          </cell>
          <cell r="AH204">
            <v>0</v>
          </cell>
          <cell r="AL204">
            <v>0</v>
          </cell>
        </row>
        <row r="205">
          <cell r="R205"/>
          <cell r="T205">
            <v>48.48</v>
          </cell>
          <cell r="V205">
            <v>29.27</v>
          </cell>
          <cell r="X205">
            <v>-2.5</v>
          </cell>
          <cell r="Z205">
            <v>-3.2953141263199539</v>
          </cell>
          <cell r="AB205"/>
          <cell r="AF205">
            <v>0</v>
          </cell>
          <cell r="AL205">
            <v>0</v>
          </cell>
        </row>
        <row r="206">
          <cell r="T206"/>
          <cell r="V206"/>
          <cell r="X206"/>
          <cell r="Z206"/>
          <cell r="AB206"/>
          <cell r="AF206"/>
        </row>
        <row r="207">
          <cell r="T207"/>
          <cell r="V207"/>
          <cell r="X207"/>
          <cell r="Z207"/>
          <cell r="AB207"/>
          <cell r="AF207"/>
        </row>
        <row r="208">
          <cell r="R208" t="str">
            <v>200-SC</v>
          </cell>
          <cell r="T208">
            <v>49.87</v>
          </cell>
          <cell r="V208">
            <v>29.27</v>
          </cell>
          <cell r="X208">
            <v>0</v>
          </cell>
          <cell r="Z208">
            <v>0</v>
          </cell>
          <cell r="AB208">
            <v>0</v>
          </cell>
          <cell r="AF208">
            <v>0</v>
          </cell>
          <cell r="AH208">
            <v>0</v>
          </cell>
          <cell r="AL208">
            <v>0</v>
          </cell>
        </row>
        <row r="209">
          <cell r="R209" t="str">
            <v>200-SC</v>
          </cell>
          <cell r="T209">
            <v>49.61</v>
          </cell>
          <cell r="V209">
            <v>29.27</v>
          </cell>
          <cell r="X209">
            <v>-6.9</v>
          </cell>
          <cell r="Z209">
            <v>-9.8000000000000007</v>
          </cell>
          <cell r="AB209">
            <v>0</v>
          </cell>
          <cell r="AF209">
            <v>0</v>
          </cell>
          <cell r="AH209">
            <v>0</v>
          </cell>
          <cell r="AL209">
            <v>0</v>
          </cell>
        </row>
        <row r="210">
          <cell r="R210" t="str">
            <v>200-SC</v>
          </cell>
          <cell r="T210">
            <v>50.76</v>
          </cell>
          <cell r="V210">
            <v>29.27</v>
          </cell>
          <cell r="X210">
            <v>-7.5</v>
          </cell>
          <cell r="Z210">
            <v>-9.8000000000000007</v>
          </cell>
          <cell r="AB210">
            <v>0</v>
          </cell>
          <cell r="AF210">
            <v>0</v>
          </cell>
          <cell r="AH210">
            <v>0</v>
          </cell>
          <cell r="AL210">
            <v>0</v>
          </cell>
        </row>
        <row r="211">
          <cell r="R211" t="str">
            <v>200-SC</v>
          </cell>
          <cell r="T211">
            <v>52.6</v>
          </cell>
          <cell r="V211">
            <v>29.26</v>
          </cell>
          <cell r="X211">
            <v>-8</v>
          </cell>
          <cell r="Z211">
            <v>-9.8000000000000007</v>
          </cell>
          <cell r="AB211">
            <v>0</v>
          </cell>
          <cell r="AF211">
            <v>0</v>
          </cell>
          <cell r="AH211">
            <v>0</v>
          </cell>
          <cell r="AL211">
            <v>0</v>
          </cell>
        </row>
        <row r="212">
          <cell r="R212" t="str">
            <v>200-SC</v>
          </cell>
          <cell r="T212">
            <v>56.09</v>
          </cell>
          <cell r="V212">
            <v>29.25</v>
          </cell>
          <cell r="X212">
            <v>-9.6999999999999993</v>
          </cell>
          <cell r="Z212">
            <v>-9.8000000000000007</v>
          </cell>
          <cell r="AB212">
            <v>0</v>
          </cell>
          <cell r="AF212">
            <v>0</v>
          </cell>
          <cell r="AH212">
            <v>0</v>
          </cell>
          <cell r="AL212">
            <v>0</v>
          </cell>
        </row>
        <row r="213">
          <cell r="R213" t="str">
            <v>200-SC</v>
          </cell>
          <cell r="T213">
            <v>55.4</v>
          </cell>
          <cell r="V213">
            <v>29.25</v>
          </cell>
          <cell r="X213">
            <v>-8.6</v>
          </cell>
          <cell r="Z213">
            <v>-9.4</v>
          </cell>
          <cell r="AB213">
            <v>0</v>
          </cell>
          <cell r="AF213">
            <v>0</v>
          </cell>
          <cell r="AH213">
            <v>0</v>
          </cell>
          <cell r="AL213">
            <v>0</v>
          </cell>
        </row>
        <row r="214">
          <cell r="R214"/>
          <cell r="T214">
            <v>50.69</v>
          </cell>
          <cell r="V214">
            <v>29.27</v>
          </cell>
          <cell r="X214">
            <v>-7.1</v>
          </cell>
          <cell r="Z214">
            <v>-9.6525985144714213</v>
          </cell>
          <cell r="AB214"/>
          <cell r="AF214">
            <v>0</v>
          </cell>
          <cell r="AL214">
            <v>0</v>
          </cell>
        </row>
        <row r="215">
          <cell r="T215"/>
          <cell r="V215"/>
          <cell r="X215"/>
          <cell r="Z215"/>
          <cell r="AB215"/>
          <cell r="AF215"/>
        </row>
        <row r="216">
          <cell r="T216"/>
          <cell r="V216"/>
          <cell r="X216"/>
          <cell r="Z216"/>
          <cell r="AB216"/>
          <cell r="AF216"/>
        </row>
        <row r="217">
          <cell r="R217">
            <v>0</v>
          </cell>
          <cell r="T217">
            <v>0</v>
          </cell>
          <cell r="V217">
            <v>0</v>
          </cell>
          <cell r="X217">
            <v>0</v>
          </cell>
          <cell r="Z217">
            <v>0</v>
          </cell>
          <cell r="AB217">
            <v>0</v>
          </cell>
          <cell r="AF217">
            <v>0</v>
          </cell>
          <cell r="AH217">
            <v>0</v>
          </cell>
          <cell r="AL217">
            <v>0</v>
          </cell>
        </row>
        <row r="218">
          <cell r="R218" t="str">
            <v>200-SC</v>
          </cell>
          <cell r="T218">
            <v>46.76</v>
          </cell>
          <cell r="V218">
            <v>33.86</v>
          </cell>
          <cell r="X218">
            <v>-4.0999999999999996</v>
          </cell>
          <cell r="Z218">
            <v>-3.6999999999999997</v>
          </cell>
          <cell r="AB218">
            <v>0</v>
          </cell>
          <cell r="AF218">
            <v>-11.8</v>
          </cell>
          <cell r="AH218">
            <v>0</v>
          </cell>
          <cell r="AL218">
            <v>-11.8</v>
          </cell>
        </row>
        <row r="219">
          <cell r="R219" t="str">
            <v>200-SC</v>
          </cell>
          <cell r="T219">
            <v>47.64</v>
          </cell>
          <cell r="V219">
            <v>33.86</v>
          </cell>
          <cell r="X219">
            <v>-4.7</v>
          </cell>
          <cell r="Z219">
            <v>-3.6999999999999997</v>
          </cell>
          <cell r="AB219">
            <v>6.7</v>
          </cell>
          <cell r="AF219">
            <v>-9.4</v>
          </cell>
          <cell r="AH219">
            <v>6.7</v>
          </cell>
          <cell r="AL219">
            <v>-9.4</v>
          </cell>
        </row>
        <row r="220">
          <cell r="R220" t="str">
            <v>200-SC</v>
          </cell>
          <cell r="T220">
            <v>44.78</v>
          </cell>
          <cell r="V220">
            <v>33.869999999999997</v>
          </cell>
          <cell r="X220">
            <v>-4.3</v>
          </cell>
          <cell r="Z220">
            <v>-3.6999999999999997</v>
          </cell>
          <cell r="AB220">
            <v>0</v>
          </cell>
          <cell r="AF220">
            <v>-6.5</v>
          </cell>
          <cell r="AH220">
            <v>0</v>
          </cell>
          <cell r="AL220">
            <v>-6.5</v>
          </cell>
        </row>
        <row r="221">
          <cell r="R221" t="str">
            <v>200-SC</v>
          </cell>
          <cell r="T221">
            <v>53.98</v>
          </cell>
          <cell r="V221">
            <v>33.83</v>
          </cell>
          <cell r="X221">
            <v>-3.7000000000000006</v>
          </cell>
          <cell r="Z221">
            <v>-3.6999999999999997</v>
          </cell>
          <cell r="AB221">
            <v>0</v>
          </cell>
          <cell r="AF221">
            <v>-4.5999999999999996</v>
          </cell>
          <cell r="AH221">
            <v>0</v>
          </cell>
          <cell r="AL221">
            <v>-4.5999999999999996</v>
          </cell>
        </row>
        <row r="222">
          <cell r="R222" t="str">
            <v>200-SC</v>
          </cell>
          <cell r="T222">
            <v>47.18</v>
          </cell>
          <cell r="V222">
            <v>33.86</v>
          </cell>
          <cell r="X222">
            <v>-3.2</v>
          </cell>
          <cell r="Z222">
            <v>-3.3000000000000003</v>
          </cell>
          <cell r="AB222">
            <v>0</v>
          </cell>
          <cell r="AF222">
            <v>0</v>
          </cell>
          <cell r="AH222">
            <v>0</v>
          </cell>
          <cell r="AL222">
            <v>0</v>
          </cell>
        </row>
        <row r="223">
          <cell r="R223"/>
          <cell r="T223">
            <v>47.3</v>
          </cell>
          <cell r="V223">
            <v>33.86</v>
          </cell>
          <cell r="X223">
            <v>-4.5</v>
          </cell>
          <cell r="Z223">
            <v>-3.6947369956337779</v>
          </cell>
          <cell r="AB223"/>
          <cell r="AF223">
            <v>-8.4</v>
          </cell>
          <cell r="AL223">
            <v>-8.4</v>
          </cell>
        </row>
        <row r="224">
          <cell r="T224"/>
          <cell r="V224"/>
          <cell r="X224"/>
          <cell r="Z224"/>
          <cell r="AB224"/>
          <cell r="AF224"/>
        </row>
        <row r="225">
          <cell r="T225"/>
          <cell r="V225"/>
          <cell r="X225"/>
          <cell r="Z225"/>
          <cell r="AB225"/>
          <cell r="AF225"/>
        </row>
        <row r="226">
          <cell r="R226" t="str">
            <v>200-SC</v>
          </cell>
          <cell r="T226">
            <v>33.31</v>
          </cell>
          <cell r="V226">
            <v>9.3800000000000008</v>
          </cell>
          <cell r="X226">
            <v>0</v>
          </cell>
          <cell r="Z226">
            <v>0</v>
          </cell>
          <cell r="AB226">
            <v>0</v>
          </cell>
          <cell r="AF226">
            <v>0</v>
          </cell>
          <cell r="AH226">
            <v>0</v>
          </cell>
          <cell r="AL226">
            <v>0</v>
          </cell>
        </row>
        <row r="227">
          <cell r="R227" t="str">
            <v>200-SC</v>
          </cell>
          <cell r="T227">
            <v>21.21</v>
          </cell>
          <cell r="V227">
            <v>9.3800000000000008</v>
          </cell>
          <cell r="X227">
            <v>-31.8</v>
          </cell>
          <cell r="Z227">
            <v>-34.300000000000004</v>
          </cell>
          <cell r="AB227">
            <v>0</v>
          </cell>
          <cell r="AF227">
            <v>0</v>
          </cell>
          <cell r="AH227">
            <v>0</v>
          </cell>
          <cell r="AL227">
            <v>0</v>
          </cell>
        </row>
        <row r="228">
          <cell r="R228" t="str">
            <v>200-SC</v>
          </cell>
          <cell r="T228">
            <v>16.91</v>
          </cell>
          <cell r="V228">
            <v>9.39</v>
          </cell>
          <cell r="X228">
            <v>-28.1</v>
          </cell>
          <cell r="Z228">
            <v>-34.300000000000004</v>
          </cell>
          <cell r="AB228">
            <v>0</v>
          </cell>
          <cell r="AF228">
            <v>0</v>
          </cell>
          <cell r="AH228">
            <v>0</v>
          </cell>
          <cell r="AL228">
            <v>0</v>
          </cell>
        </row>
        <row r="229">
          <cell r="R229" t="str">
            <v>200-SC</v>
          </cell>
          <cell r="T229">
            <v>25.4</v>
          </cell>
          <cell r="V229">
            <v>9.3800000000000008</v>
          </cell>
          <cell r="X229">
            <v>-34.299999999999997</v>
          </cell>
          <cell r="Z229">
            <v>-34.300000000000004</v>
          </cell>
          <cell r="AB229">
            <v>0</v>
          </cell>
          <cell r="AF229">
            <v>0</v>
          </cell>
          <cell r="AH229">
            <v>0</v>
          </cell>
          <cell r="AL229">
            <v>0</v>
          </cell>
        </row>
        <row r="230">
          <cell r="R230" t="str">
            <v>200-SC</v>
          </cell>
          <cell r="T230">
            <v>31.6</v>
          </cell>
          <cell r="V230">
            <v>9.3800000000000008</v>
          </cell>
          <cell r="X230">
            <v>-34.299999999999997</v>
          </cell>
          <cell r="Z230">
            <v>-34.300000000000004</v>
          </cell>
          <cell r="AB230">
            <v>0</v>
          </cell>
          <cell r="AF230">
            <v>0</v>
          </cell>
          <cell r="AH230">
            <v>0</v>
          </cell>
          <cell r="AL230">
            <v>0</v>
          </cell>
        </row>
        <row r="231">
          <cell r="R231" t="str">
            <v>200-SC</v>
          </cell>
          <cell r="T231">
            <v>22.26</v>
          </cell>
          <cell r="V231">
            <v>9.3800000000000008</v>
          </cell>
          <cell r="X231">
            <v>-33.6</v>
          </cell>
          <cell r="Z231">
            <v>-34.200000000000003</v>
          </cell>
          <cell r="AB231">
            <v>0</v>
          </cell>
          <cell r="AF231">
            <v>0</v>
          </cell>
          <cell r="AH231">
            <v>0</v>
          </cell>
          <cell r="AL231">
            <v>0</v>
          </cell>
        </row>
        <row r="232">
          <cell r="R232"/>
          <cell r="T232">
            <v>21.34</v>
          </cell>
          <cell r="V232">
            <v>9.3800000000000008</v>
          </cell>
          <cell r="X232">
            <v>-29.9</v>
          </cell>
          <cell r="Z232">
            <v>-32.571848804299336</v>
          </cell>
          <cell r="AB232"/>
          <cell r="AF232">
            <v>0</v>
          </cell>
          <cell r="AL232">
            <v>0</v>
          </cell>
        </row>
        <row r="233">
          <cell r="R233"/>
          <cell r="T233"/>
          <cell r="V233"/>
          <cell r="X233"/>
          <cell r="Z233"/>
          <cell r="AB233"/>
          <cell r="AF233"/>
        </row>
        <row r="234">
          <cell r="T234"/>
          <cell r="V234"/>
          <cell r="X234"/>
          <cell r="Z234"/>
          <cell r="AB234"/>
          <cell r="AF234"/>
        </row>
        <row r="235">
          <cell r="R235" t="str">
            <v>200-SC</v>
          </cell>
          <cell r="T235">
            <v>61.72</v>
          </cell>
          <cell r="V235">
            <v>33.79</v>
          </cell>
          <cell r="X235">
            <v>0</v>
          </cell>
          <cell r="Z235">
            <v>0</v>
          </cell>
          <cell r="AB235">
            <v>0</v>
          </cell>
          <cell r="AF235">
            <v>0</v>
          </cell>
          <cell r="AH235">
            <v>0</v>
          </cell>
          <cell r="AL235">
            <v>0</v>
          </cell>
        </row>
        <row r="236">
          <cell r="R236">
            <v>0</v>
          </cell>
          <cell r="T236">
            <v>0</v>
          </cell>
          <cell r="V236">
            <v>0</v>
          </cell>
          <cell r="X236">
            <v>0</v>
          </cell>
          <cell r="Z236">
            <v>0</v>
          </cell>
          <cell r="AB236">
            <v>0</v>
          </cell>
          <cell r="AF236">
            <v>0</v>
          </cell>
          <cell r="AH236">
            <v>0</v>
          </cell>
          <cell r="AL236">
            <v>0</v>
          </cell>
        </row>
        <row r="237">
          <cell r="R237" t="str">
            <v>200-SC</v>
          </cell>
          <cell r="T237">
            <v>56.69</v>
          </cell>
          <cell r="V237">
            <v>33.82</v>
          </cell>
          <cell r="X237">
            <v>-30</v>
          </cell>
          <cell r="Z237">
            <v>-31.1</v>
          </cell>
          <cell r="AB237">
            <v>0</v>
          </cell>
          <cell r="AF237">
            <v>0</v>
          </cell>
          <cell r="AH237">
            <v>0</v>
          </cell>
          <cell r="AL237">
            <v>0</v>
          </cell>
        </row>
        <row r="238">
          <cell r="R238">
            <v>0</v>
          </cell>
          <cell r="T238">
            <v>0</v>
          </cell>
          <cell r="V238">
            <v>0</v>
          </cell>
          <cell r="X238">
            <v>0</v>
          </cell>
          <cell r="Z238">
            <v>0</v>
          </cell>
          <cell r="AB238">
            <v>0</v>
          </cell>
          <cell r="AF238">
            <v>0</v>
          </cell>
          <cell r="AH238">
            <v>0</v>
          </cell>
          <cell r="AL238">
            <v>0</v>
          </cell>
        </row>
        <row r="239">
          <cell r="R239">
            <v>0</v>
          </cell>
          <cell r="T239">
            <v>0</v>
          </cell>
          <cell r="V239">
            <v>0</v>
          </cell>
          <cell r="X239">
            <v>0</v>
          </cell>
          <cell r="Z239">
            <v>0</v>
          </cell>
          <cell r="AB239">
            <v>0</v>
          </cell>
          <cell r="AF239">
            <v>0</v>
          </cell>
          <cell r="AH239">
            <v>0</v>
          </cell>
          <cell r="AL239">
            <v>0</v>
          </cell>
        </row>
        <row r="240">
          <cell r="R240">
            <v>0</v>
          </cell>
          <cell r="T240">
            <v>0</v>
          </cell>
          <cell r="V240">
            <v>0</v>
          </cell>
          <cell r="X240">
            <v>0</v>
          </cell>
          <cell r="Z240">
            <v>0</v>
          </cell>
          <cell r="AB240">
            <v>0</v>
          </cell>
          <cell r="AF240">
            <v>0</v>
          </cell>
          <cell r="AH240">
            <v>0</v>
          </cell>
          <cell r="AL240">
            <v>0</v>
          </cell>
        </row>
        <row r="241">
          <cell r="R241"/>
          <cell r="T241">
            <v>56.74</v>
          </cell>
          <cell r="V241">
            <v>33.82</v>
          </cell>
          <cell r="X241">
            <v>-29.599999999999998</v>
          </cell>
          <cell r="Z241">
            <v>-30.73062180088581</v>
          </cell>
          <cell r="AB241"/>
          <cell r="AF241">
            <v>0</v>
          </cell>
          <cell r="AL241">
            <v>0</v>
          </cell>
        </row>
        <row r="242">
          <cell r="T242"/>
          <cell r="V242"/>
          <cell r="X242"/>
          <cell r="Z242"/>
          <cell r="AB242"/>
          <cell r="AF242"/>
        </row>
        <row r="243">
          <cell r="T243"/>
          <cell r="V243"/>
          <cell r="X243"/>
          <cell r="Z243"/>
          <cell r="AB243"/>
          <cell r="AF243"/>
        </row>
        <row r="244">
          <cell r="R244"/>
          <cell r="T244">
            <v>0</v>
          </cell>
          <cell r="V244">
            <v>0</v>
          </cell>
          <cell r="X244">
            <v>0</v>
          </cell>
          <cell r="Z244">
            <v>0</v>
          </cell>
          <cell r="AB244"/>
          <cell r="AF244"/>
          <cell r="AH244"/>
          <cell r="AL244"/>
        </row>
        <row r="245">
          <cell r="R245"/>
          <cell r="T245">
            <v>36.97</v>
          </cell>
          <cell r="V245">
            <v>22.69</v>
          </cell>
          <cell r="X245">
            <v>-28.000000000000004</v>
          </cell>
          <cell r="Z245">
            <v>-29.300800709843006</v>
          </cell>
          <cell r="AB245"/>
          <cell r="AF245"/>
          <cell r="AH245"/>
          <cell r="AL245"/>
        </row>
        <row r="246">
          <cell r="R246"/>
          <cell r="T246">
            <v>40.57</v>
          </cell>
          <cell r="V246">
            <v>24.49</v>
          </cell>
          <cell r="X246">
            <v>-24.8</v>
          </cell>
          <cell r="Z246">
            <v>-26.760397189794201</v>
          </cell>
          <cell r="AB246"/>
          <cell r="AF246"/>
          <cell r="AH246"/>
          <cell r="AL246"/>
        </row>
        <row r="247">
          <cell r="R247"/>
          <cell r="T247">
            <v>30.66</v>
          </cell>
          <cell r="V247">
            <v>19.77</v>
          </cell>
          <cell r="X247">
            <v>-36</v>
          </cell>
          <cell r="Z247">
            <v>-39.829772529197953</v>
          </cell>
          <cell r="AB247"/>
          <cell r="AF247"/>
          <cell r="AH247"/>
          <cell r="AL247"/>
        </row>
        <row r="248">
          <cell r="R248"/>
          <cell r="T248">
            <v>28.88</v>
          </cell>
          <cell r="V248">
            <v>20.34</v>
          </cell>
          <cell r="X248">
            <v>-31.900000000000002</v>
          </cell>
          <cell r="Z248">
            <v>-34.00903584097874</v>
          </cell>
          <cell r="AB248"/>
          <cell r="AF248"/>
          <cell r="AH248"/>
          <cell r="AL248"/>
        </row>
        <row r="249">
          <cell r="R249"/>
          <cell r="T249">
            <v>26.85</v>
          </cell>
          <cell r="V249">
            <v>19.559999999999999</v>
          </cell>
          <cell r="X249">
            <v>-31.6</v>
          </cell>
          <cell r="Z249">
            <v>-35.899126974025641</v>
          </cell>
          <cell r="AB249"/>
          <cell r="AF249"/>
          <cell r="AH249"/>
          <cell r="AL249"/>
        </row>
        <row r="250">
          <cell r="R250"/>
          <cell r="T250">
            <v>35.409999999999997</v>
          </cell>
          <cell r="V250">
            <v>22.31</v>
          </cell>
          <cell r="X250">
            <v>-28.7</v>
          </cell>
          <cell r="Z250">
            <v>-30.969130417992872</v>
          </cell>
          <cell r="AB250"/>
          <cell r="AF250">
            <v>0</v>
          </cell>
          <cell r="AL250">
            <v>0</v>
          </cell>
        </row>
        <row r="251">
          <cell r="T251"/>
          <cell r="V251"/>
          <cell r="X251"/>
          <cell r="Z251"/>
          <cell r="AB251"/>
          <cell r="AF251"/>
        </row>
        <row r="252">
          <cell r="T252"/>
          <cell r="V252"/>
          <cell r="X252"/>
          <cell r="Z252"/>
          <cell r="AB252"/>
          <cell r="AF252"/>
        </row>
        <row r="253">
          <cell r="R253">
            <v>0</v>
          </cell>
          <cell r="T253">
            <v>0</v>
          </cell>
          <cell r="V253">
            <v>0</v>
          </cell>
          <cell r="X253">
            <v>0</v>
          </cell>
          <cell r="Z253">
            <v>0</v>
          </cell>
          <cell r="AB253">
            <v>0</v>
          </cell>
          <cell r="AF253">
            <v>0</v>
          </cell>
          <cell r="AH253">
            <v>0</v>
          </cell>
          <cell r="AL253">
            <v>0</v>
          </cell>
        </row>
        <row r="254">
          <cell r="R254" t="str">
            <v>200-SC</v>
          </cell>
          <cell r="T254">
            <v>22.86</v>
          </cell>
          <cell r="V254">
            <v>13.27</v>
          </cell>
          <cell r="X254">
            <v>-43.4</v>
          </cell>
          <cell r="Z254">
            <v>-47.199999999999996</v>
          </cell>
          <cell r="AB254">
            <v>0</v>
          </cell>
          <cell r="AF254">
            <v>0</v>
          </cell>
          <cell r="AH254">
            <v>0</v>
          </cell>
          <cell r="AL254">
            <v>0</v>
          </cell>
        </row>
        <row r="255">
          <cell r="R255" t="str">
            <v>200-SC</v>
          </cell>
          <cell r="T255">
            <v>26.28</v>
          </cell>
          <cell r="V255">
            <v>13.26</v>
          </cell>
          <cell r="X255">
            <v>-39.700000000000003</v>
          </cell>
          <cell r="Z255">
            <v>-47.199999999999996</v>
          </cell>
          <cell r="AB255">
            <v>0</v>
          </cell>
          <cell r="AF255">
            <v>0</v>
          </cell>
          <cell r="AH255">
            <v>0</v>
          </cell>
          <cell r="AL255">
            <v>0</v>
          </cell>
        </row>
        <row r="256">
          <cell r="R256" t="str">
            <v>200-SC</v>
          </cell>
          <cell r="T256">
            <v>22.94</v>
          </cell>
          <cell r="V256">
            <v>13.27</v>
          </cell>
          <cell r="X256">
            <v>-42.1</v>
          </cell>
          <cell r="Z256">
            <v>-47.199999999999996</v>
          </cell>
          <cell r="AB256">
            <v>0</v>
          </cell>
          <cell r="AF256">
            <v>0</v>
          </cell>
          <cell r="AH256">
            <v>0</v>
          </cell>
          <cell r="AL256">
            <v>0</v>
          </cell>
        </row>
        <row r="257">
          <cell r="R257" t="str">
            <v>200-SC</v>
          </cell>
          <cell r="T257">
            <v>17.2</v>
          </cell>
          <cell r="V257">
            <v>13.27</v>
          </cell>
          <cell r="X257">
            <v>-43.5</v>
          </cell>
          <cell r="Z257">
            <v>-47.3</v>
          </cell>
          <cell r="AB257">
            <v>0</v>
          </cell>
          <cell r="AF257">
            <v>0</v>
          </cell>
          <cell r="AH257">
            <v>0</v>
          </cell>
          <cell r="AL257">
            <v>0</v>
          </cell>
        </row>
        <row r="258">
          <cell r="R258" t="str">
            <v>200-SC</v>
          </cell>
          <cell r="T258">
            <v>18.52</v>
          </cell>
          <cell r="V258">
            <v>13.27</v>
          </cell>
          <cell r="X258">
            <v>-44.7</v>
          </cell>
          <cell r="Z258">
            <v>-47.099999999999994</v>
          </cell>
          <cell r="AB258">
            <v>0</v>
          </cell>
          <cell r="AF258">
            <v>0</v>
          </cell>
          <cell r="AH258">
            <v>0</v>
          </cell>
          <cell r="AL258">
            <v>0</v>
          </cell>
        </row>
        <row r="259">
          <cell r="R259"/>
          <cell r="T259">
            <v>22.58</v>
          </cell>
          <cell r="V259">
            <v>13.27</v>
          </cell>
          <cell r="X259">
            <v>-41.5</v>
          </cell>
          <cell r="Z259">
            <v>-47.217287046335045</v>
          </cell>
          <cell r="AB259"/>
          <cell r="AF259">
            <v>0</v>
          </cell>
          <cell r="AL259">
            <v>0</v>
          </cell>
        </row>
        <row r="260">
          <cell r="T260"/>
          <cell r="V260"/>
          <cell r="X260"/>
          <cell r="Z260"/>
          <cell r="AB260"/>
          <cell r="AF260"/>
        </row>
        <row r="261">
          <cell r="T261"/>
          <cell r="V261"/>
          <cell r="X261"/>
          <cell r="Z261"/>
          <cell r="AB261"/>
          <cell r="AF261"/>
        </row>
        <row r="262">
          <cell r="R262">
            <v>0</v>
          </cell>
          <cell r="T262">
            <v>0</v>
          </cell>
          <cell r="V262">
            <v>0</v>
          </cell>
          <cell r="X262">
            <v>0</v>
          </cell>
          <cell r="Z262">
            <v>0</v>
          </cell>
          <cell r="AB262">
            <v>0</v>
          </cell>
          <cell r="AF262">
            <v>0</v>
          </cell>
          <cell r="AH262">
            <v>0</v>
          </cell>
          <cell r="AL262">
            <v>0</v>
          </cell>
        </row>
        <row r="263">
          <cell r="R263" t="str">
            <v>200-SC</v>
          </cell>
          <cell r="T263">
            <v>21.69</v>
          </cell>
          <cell r="V263">
            <v>15.19</v>
          </cell>
          <cell r="X263">
            <v>-45.8</v>
          </cell>
          <cell r="Z263">
            <v>-51.300000000000004</v>
          </cell>
          <cell r="AB263">
            <v>0</v>
          </cell>
          <cell r="AF263">
            <v>0</v>
          </cell>
          <cell r="AH263">
            <v>0</v>
          </cell>
          <cell r="AL263">
            <v>0</v>
          </cell>
        </row>
        <row r="264">
          <cell r="R264" t="str">
            <v>200-SC</v>
          </cell>
          <cell r="T264">
            <v>28.86</v>
          </cell>
          <cell r="V264">
            <v>15.19</v>
          </cell>
          <cell r="X264">
            <v>-49</v>
          </cell>
          <cell r="Z264">
            <v>-51.300000000000004</v>
          </cell>
          <cell r="AB264">
            <v>0</v>
          </cell>
          <cell r="AF264">
            <v>0</v>
          </cell>
          <cell r="AH264">
            <v>0</v>
          </cell>
          <cell r="AL264">
            <v>0</v>
          </cell>
        </row>
        <row r="265">
          <cell r="R265" t="str">
            <v>200-SC</v>
          </cell>
          <cell r="T265">
            <v>30.7</v>
          </cell>
          <cell r="V265">
            <v>15.19</v>
          </cell>
          <cell r="X265">
            <v>-46.9</v>
          </cell>
          <cell r="Z265">
            <v>-51.2</v>
          </cell>
          <cell r="AB265">
            <v>0</v>
          </cell>
          <cell r="AF265">
            <v>0</v>
          </cell>
          <cell r="AH265">
            <v>0</v>
          </cell>
          <cell r="AL265">
            <v>0</v>
          </cell>
        </row>
        <row r="266">
          <cell r="R266" t="str">
            <v>200-SC</v>
          </cell>
          <cell r="T266">
            <v>18.62</v>
          </cell>
          <cell r="V266">
            <v>15.2</v>
          </cell>
          <cell r="X266">
            <v>-48.7</v>
          </cell>
          <cell r="Z266">
            <v>-51.300000000000004</v>
          </cell>
          <cell r="AB266">
            <v>0</v>
          </cell>
          <cell r="AF266">
            <v>0</v>
          </cell>
          <cell r="AH266">
            <v>0</v>
          </cell>
          <cell r="AL266">
            <v>0</v>
          </cell>
        </row>
        <row r="267">
          <cell r="R267" t="str">
            <v>200-SC</v>
          </cell>
          <cell r="T267">
            <v>19.760000000000002</v>
          </cell>
          <cell r="V267">
            <v>15.2</v>
          </cell>
          <cell r="X267">
            <v>-47.7</v>
          </cell>
          <cell r="Z267">
            <v>-51.1</v>
          </cell>
          <cell r="AB267">
            <v>0</v>
          </cell>
          <cell r="AF267">
            <v>0</v>
          </cell>
          <cell r="AH267">
            <v>0</v>
          </cell>
          <cell r="AL267">
            <v>0</v>
          </cell>
        </row>
        <row r="268">
          <cell r="R268"/>
          <cell r="T268">
            <v>25.66</v>
          </cell>
          <cell r="V268">
            <v>15.19</v>
          </cell>
          <cell r="X268">
            <v>-48.1</v>
          </cell>
          <cell r="Z268">
            <v>-51.271390666065273</v>
          </cell>
          <cell r="AB268"/>
          <cell r="AF268">
            <v>0</v>
          </cell>
          <cell r="AL268">
            <v>0</v>
          </cell>
        </row>
        <row r="269">
          <cell r="T269"/>
          <cell r="V269"/>
          <cell r="X269"/>
          <cell r="Z269"/>
          <cell r="AB269"/>
          <cell r="AF269"/>
        </row>
        <row r="270">
          <cell r="T270"/>
          <cell r="V270"/>
          <cell r="X270"/>
          <cell r="Z270"/>
          <cell r="AB270"/>
          <cell r="AF270"/>
        </row>
        <row r="271">
          <cell r="R271">
            <v>0</v>
          </cell>
          <cell r="T271">
            <v>0</v>
          </cell>
          <cell r="V271">
            <v>0</v>
          </cell>
          <cell r="X271">
            <v>0</v>
          </cell>
          <cell r="Z271">
            <v>0</v>
          </cell>
          <cell r="AB271">
            <v>0</v>
          </cell>
          <cell r="AF271">
            <v>0</v>
          </cell>
          <cell r="AH271">
            <v>0</v>
          </cell>
          <cell r="AL271">
            <v>0</v>
          </cell>
        </row>
        <row r="272">
          <cell r="R272" t="str">
            <v>200-SC</v>
          </cell>
          <cell r="T272">
            <v>26.92</v>
          </cell>
          <cell r="V272">
            <v>17.11</v>
          </cell>
          <cell r="X272">
            <v>-50.4</v>
          </cell>
          <cell r="Z272">
            <v>-56.3</v>
          </cell>
          <cell r="AB272">
            <v>0</v>
          </cell>
          <cell r="AF272">
            <v>0</v>
          </cell>
          <cell r="AH272">
            <v>0</v>
          </cell>
          <cell r="AL272">
            <v>0</v>
          </cell>
        </row>
        <row r="273">
          <cell r="R273" t="str">
            <v>200-SC</v>
          </cell>
          <cell r="T273">
            <v>29.45</v>
          </cell>
          <cell r="V273">
            <v>17.100000000000001</v>
          </cell>
          <cell r="X273">
            <v>-52.7</v>
          </cell>
          <cell r="Z273">
            <v>-56.3</v>
          </cell>
          <cell r="AB273">
            <v>0</v>
          </cell>
          <cell r="AF273">
            <v>0</v>
          </cell>
          <cell r="AH273">
            <v>0</v>
          </cell>
          <cell r="AL273">
            <v>0</v>
          </cell>
        </row>
        <row r="274">
          <cell r="R274" t="str">
            <v>200-SC</v>
          </cell>
          <cell r="T274">
            <v>27.66</v>
          </cell>
          <cell r="V274">
            <v>17.11</v>
          </cell>
          <cell r="X274">
            <v>-51</v>
          </cell>
          <cell r="Z274">
            <v>-56.3</v>
          </cell>
          <cell r="AB274">
            <v>0</v>
          </cell>
          <cell r="AF274">
            <v>0</v>
          </cell>
          <cell r="AH274">
            <v>0</v>
          </cell>
          <cell r="AL274">
            <v>0</v>
          </cell>
        </row>
        <row r="275">
          <cell r="R275" t="str">
            <v>200-SC</v>
          </cell>
          <cell r="T275">
            <v>28.42</v>
          </cell>
          <cell r="V275">
            <v>17.100000000000001</v>
          </cell>
          <cell r="X275">
            <v>-49.9</v>
          </cell>
          <cell r="Z275">
            <v>-56.3</v>
          </cell>
          <cell r="AB275">
            <v>0</v>
          </cell>
          <cell r="AF275">
            <v>0</v>
          </cell>
          <cell r="AH275">
            <v>0</v>
          </cell>
          <cell r="AL275">
            <v>0</v>
          </cell>
        </row>
        <row r="276">
          <cell r="R276" t="str">
            <v>200-SC</v>
          </cell>
          <cell r="T276">
            <v>23.16</v>
          </cell>
          <cell r="V276">
            <v>17.11</v>
          </cell>
          <cell r="X276">
            <v>-49.5</v>
          </cell>
          <cell r="Z276">
            <v>-56.100000000000009</v>
          </cell>
          <cell r="AB276">
            <v>0</v>
          </cell>
          <cell r="AF276">
            <v>0</v>
          </cell>
          <cell r="AH276">
            <v>0</v>
          </cell>
          <cell r="AL276">
            <v>0</v>
          </cell>
        </row>
        <row r="277">
          <cell r="R277"/>
          <cell r="T277">
            <v>28.24</v>
          </cell>
          <cell r="V277">
            <v>17.11</v>
          </cell>
          <cell r="X277">
            <v>-51.300000000000004</v>
          </cell>
          <cell r="Z277">
            <v>-56.297758937474207</v>
          </cell>
          <cell r="AB277"/>
          <cell r="AF277">
            <v>0</v>
          </cell>
          <cell r="AL277">
            <v>0</v>
          </cell>
        </row>
        <row r="278">
          <cell r="T278"/>
          <cell r="V278"/>
          <cell r="X278"/>
          <cell r="Z278"/>
          <cell r="AB278"/>
          <cell r="AF278"/>
        </row>
        <row r="279">
          <cell r="T279"/>
          <cell r="V279"/>
          <cell r="X279"/>
          <cell r="Z279"/>
          <cell r="AB279"/>
          <cell r="AF279"/>
        </row>
        <row r="280">
          <cell r="R280">
            <v>0</v>
          </cell>
          <cell r="T280">
            <v>0</v>
          </cell>
          <cell r="V280">
            <v>0</v>
          </cell>
          <cell r="X280">
            <v>0</v>
          </cell>
          <cell r="Z280">
            <v>0</v>
          </cell>
          <cell r="AB280">
            <v>0</v>
          </cell>
          <cell r="AF280">
            <v>0</v>
          </cell>
          <cell r="AH280">
            <v>0</v>
          </cell>
          <cell r="AL280">
            <v>0</v>
          </cell>
        </row>
        <row r="281">
          <cell r="R281" t="str">
            <v>200-SC</v>
          </cell>
          <cell r="T281">
            <v>52.99</v>
          </cell>
          <cell r="V281">
            <v>32.01</v>
          </cell>
          <cell r="X281">
            <v>-17.5</v>
          </cell>
          <cell r="Z281">
            <v>-17.8</v>
          </cell>
          <cell r="AB281">
            <v>0</v>
          </cell>
          <cell r="AF281">
            <v>0</v>
          </cell>
          <cell r="AH281">
            <v>0</v>
          </cell>
          <cell r="AL281">
            <v>0</v>
          </cell>
        </row>
        <row r="282">
          <cell r="R282" t="str">
            <v>200-SC</v>
          </cell>
          <cell r="T282">
            <v>54.25</v>
          </cell>
          <cell r="V282">
            <v>32</v>
          </cell>
          <cell r="X282">
            <v>-16.5</v>
          </cell>
          <cell r="Z282">
            <v>-17.8</v>
          </cell>
          <cell r="AB282">
            <v>0</v>
          </cell>
          <cell r="AF282">
            <v>0</v>
          </cell>
          <cell r="AH282">
            <v>0</v>
          </cell>
          <cell r="AL282">
            <v>0</v>
          </cell>
        </row>
        <row r="283">
          <cell r="R283" t="str">
            <v>200-SC</v>
          </cell>
          <cell r="T283">
            <v>41.75</v>
          </cell>
          <cell r="V283">
            <v>32.06</v>
          </cell>
          <cell r="X283">
            <v>-16.2</v>
          </cell>
          <cell r="Z283">
            <v>-17.899999999999999</v>
          </cell>
          <cell r="AB283">
            <v>0</v>
          </cell>
          <cell r="AF283">
            <v>0</v>
          </cell>
          <cell r="AH283">
            <v>0</v>
          </cell>
          <cell r="AL283">
            <v>0</v>
          </cell>
        </row>
        <row r="284">
          <cell r="R284" t="str">
            <v>200-SC</v>
          </cell>
          <cell r="T284">
            <v>47.13</v>
          </cell>
          <cell r="V284">
            <v>32.04</v>
          </cell>
          <cell r="X284">
            <v>-17.100000000000001</v>
          </cell>
          <cell r="Z284">
            <v>-17.899999999999999</v>
          </cell>
          <cell r="AB284">
            <v>0</v>
          </cell>
          <cell r="AF284">
            <v>0</v>
          </cell>
          <cell r="AH284">
            <v>0</v>
          </cell>
          <cell r="AL284">
            <v>0</v>
          </cell>
        </row>
        <row r="285">
          <cell r="R285" t="str">
            <v>200-SC</v>
          </cell>
          <cell r="T285">
            <v>44.82</v>
          </cell>
          <cell r="V285">
            <v>32.049999999999997</v>
          </cell>
          <cell r="X285">
            <v>-14.499999999999998</v>
          </cell>
          <cell r="Z285">
            <v>-17.399999999999999</v>
          </cell>
          <cell r="AB285">
            <v>0</v>
          </cell>
          <cell r="AF285">
            <v>0</v>
          </cell>
          <cell r="AH285">
            <v>0</v>
          </cell>
          <cell r="AL285">
            <v>0</v>
          </cell>
        </row>
        <row r="286">
          <cell r="R286"/>
          <cell r="T286">
            <v>50.81</v>
          </cell>
          <cell r="V286">
            <v>32.020000000000003</v>
          </cell>
          <cell r="X286">
            <v>-16.7</v>
          </cell>
          <cell r="Z286">
            <v>-17.825370163440386</v>
          </cell>
          <cell r="AB286"/>
          <cell r="AF286">
            <v>0</v>
          </cell>
          <cell r="AL286">
            <v>0</v>
          </cell>
        </row>
        <row r="287">
          <cell r="R287"/>
          <cell r="T287"/>
          <cell r="V287"/>
          <cell r="X287"/>
          <cell r="Z287"/>
          <cell r="AB287"/>
          <cell r="AF287"/>
        </row>
        <row r="288">
          <cell r="R288"/>
          <cell r="T288"/>
          <cell r="V288"/>
          <cell r="X288"/>
          <cell r="Z288"/>
          <cell r="AB288"/>
          <cell r="AF288"/>
        </row>
        <row r="289">
          <cell r="T289"/>
          <cell r="V289"/>
          <cell r="X289"/>
          <cell r="Z289"/>
          <cell r="AB289"/>
          <cell r="AF289"/>
        </row>
        <row r="290">
          <cell r="R290">
            <v>0</v>
          </cell>
          <cell r="T290">
            <v>0</v>
          </cell>
          <cell r="V290">
            <v>0</v>
          </cell>
          <cell r="X290">
            <v>0</v>
          </cell>
          <cell r="Z290">
            <v>0</v>
          </cell>
          <cell r="AB290">
            <v>0</v>
          </cell>
          <cell r="AF290">
            <v>0</v>
          </cell>
          <cell r="AH290">
            <v>0</v>
          </cell>
          <cell r="AL290">
            <v>0</v>
          </cell>
        </row>
        <row r="291">
          <cell r="R291">
            <v>0</v>
          </cell>
          <cell r="T291">
            <v>0</v>
          </cell>
          <cell r="V291">
            <v>0</v>
          </cell>
          <cell r="X291">
            <v>0</v>
          </cell>
          <cell r="Z291">
            <v>0</v>
          </cell>
          <cell r="AB291">
            <v>0</v>
          </cell>
          <cell r="AF291">
            <v>0</v>
          </cell>
          <cell r="AH291">
            <v>0</v>
          </cell>
          <cell r="AL291">
            <v>0</v>
          </cell>
        </row>
        <row r="292">
          <cell r="R292" t="str">
            <v>200-SC</v>
          </cell>
          <cell r="T292">
            <v>32.56</v>
          </cell>
          <cell r="V292">
            <v>32.1</v>
          </cell>
          <cell r="X292">
            <v>-0.4</v>
          </cell>
          <cell r="Z292">
            <v>-0.4</v>
          </cell>
          <cell r="AB292">
            <v>0</v>
          </cell>
          <cell r="AF292">
            <v>0</v>
          </cell>
          <cell r="AH292">
            <v>0</v>
          </cell>
          <cell r="AL292">
            <v>0</v>
          </cell>
        </row>
        <row r="293">
          <cell r="R293">
            <v>0</v>
          </cell>
          <cell r="T293">
            <v>0</v>
          </cell>
          <cell r="V293">
            <v>0</v>
          </cell>
          <cell r="X293">
            <v>0</v>
          </cell>
          <cell r="Z293">
            <v>0</v>
          </cell>
          <cell r="AB293">
            <v>0</v>
          </cell>
          <cell r="AF293">
            <v>0</v>
          </cell>
          <cell r="AH293">
            <v>0</v>
          </cell>
          <cell r="AL293">
            <v>0</v>
          </cell>
        </row>
        <row r="294">
          <cell r="R294">
            <v>0</v>
          </cell>
          <cell r="T294">
            <v>0</v>
          </cell>
          <cell r="V294">
            <v>0</v>
          </cell>
          <cell r="X294">
            <v>0</v>
          </cell>
          <cell r="Z294">
            <v>0</v>
          </cell>
          <cell r="AB294">
            <v>0</v>
          </cell>
          <cell r="AF294">
            <v>0</v>
          </cell>
          <cell r="AH294">
            <v>0</v>
          </cell>
          <cell r="AL294">
            <v>0</v>
          </cell>
        </row>
        <row r="295">
          <cell r="R295">
            <v>0</v>
          </cell>
          <cell r="T295">
            <v>0</v>
          </cell>
          <cell r="V295">
            <v>0</v>
          </cell>
          <cell r="X295">
            <v>0</v>
          </cell>
          <cell r="Z295">
            <v>0</v>
          </cell>
          <cell r="AB295">
            <v>0</v>
          </cell>
          <cell r="AF295">
            <v>0</v>
          </cell>
          <cell r="AH295">
            <v>0</v>
          </cell>
          <cell r="AL295">
            <v>0</v>
          </cell>
        </row>
        <row r="296">
          <cell r="R296"/>
          <cell r="T296">
            <v>32.56</v>
          </cell>
          <cell r="V296">
            <v>32.1</v>
          </cell>
          <cell r="X296">
            <v>-0.4</v>
          </cell>
          <cell r="Z296">
            <v>-0.4</v>
          </cell>
          <cell r="AB296"/>
          <cell r="AF296">
            <v>0</v>
          </cell>
          <cell r="AL296">
            <v>0</v>
          </cell>
        </row>
        <row r="297">
          <cell r="T297"/>
          <cell r="V297"/>
          <cell r="X297"/>
          <cell r="Z297"/>
          <cell r="AB297"/>
          <cell r="AF297"/>
        </row>
        <row r="298">
          <cell r="T298"/>
          <cell r="V298"/>
          <cell r="X298"/>
          <cell r="Z298"/>
          <cell r="AB298"/>
          <cell r="AF298"/>
        </row>
        <row r="299">
          <cell r="T299"/>
          <cell r="V299"/>
          <cell r="X299"/>
          <cell r="Z299"/>
          <cell r="AB299"/>
          <cell r="AF299"/>
        </row>
        <row r="300">
          <cell r="R300" t="str">
            <v>200-SC</v>
          </cell>
          <cell r="T300">
            <v>36.97</v>
          </cell>
          <cell r="V300">
            <v>30.24</v>
          </cell>
          <cell r="X300">
            <v>-4.0999999999999996</v>
          </cell>
          <cell r="Z300">
            <v>-5.0999999999999996</v>
          </cell>
          <cell r="AB300">
            <v>0</v>
          </cell>
          <cell r="AF300">
            <v>0</v>
          </cell>
          <cell r="AH300">
            <v>0</v>
          </cell>
          <cell r="AL300">
            <v>0</v>
          </cell>
        </row>
        <row r="301">
          <cell r="R301" t="str">
            <v>200-SC</v>
          </cell>
          <cell r="T301">
            <v>42.7</v>
          </cell>
          <cell r="V301">
            <v>30.22</v>
          </cell>
          <cell r="X301">
            <v>-5</v>
          </cell>
          <cell r="Z301">
            <v>-5.0999999999999996</v>
          </cell>
          <cell r="AB301">
            <v>0</v>
          </cell>
          <cell r="AF301">
            <v>0</v>
          </cell>
          <cell r="AH301">
            <v>0</v>
          </cell>
          <cell r="AL301">
            <v>0</v>
          </cell>
        </row>
        <row r="302">
          <cell r="R302" t="str">
            <v>200-SC</v>
          </cell>
          <cell r="T302">
            <v>34.409999999999997</v>
          </cell>
          <cell r="V302">
            <v>30.25</v>
          </cell>
          <cell r="X302">
            <v>-0.7</v>
          </cell>
          <cell r="Z302">
            <v>-5.0999999999999996</v>
          </cell>
          <cell r="AB302">
            <v>0</v>
          </cell>
          <cell r="AF302">
            <v>0</v>
          </cell>
          <cell r="AH302">
            <v>0</v>
          </cell>
          <cell r="AL302">
            <v>0</v>
          </cell>
        </row>
        <row r="303">
          <cell r="R303" t="str">
            <v>200-SC</v>
          </cell>
          <cell r="T303">
            <v>42.56</v>
          </cell>
          <cell r="V303">
            <v>30.22</v>
          </cell>
          <cell r="X303">
            <v>-5</v>
          </cell>
          <cell r="Z303">
            <v>-5.0999999999999996</v>
          </cell>
          <cell r="AB303">
            <v>0</v>
          </cell>
          <cell r="AF303">
            <v>0</v>
          </cell>
          <cell r="AH303">
            <v>0</v>
          </cell>
          <cell r="AL303">
            <v>0</v>
          </cell>
        </row>
        <row r="304">
          <cell r="R304" t="str">
            <v>200-SC</v>
          </cell>
          <cell r="T304">
            <v>41.8</v>
          </cell>
          <cell r="V304">
            <v>30.22</v>
          </cell>
          <cell r="X304">
            <v>-1.9</v>
          </cell>
          <cell r="Z304">
            <v>-5.0999999999999996</v>
          </cell>
          <cell r="AB304">
            <v>0</v>
          </cell>
          <cell r="AF304">
            <v>0</v>
          </cell>
          <cell r="AH304">
            <v>0</v>
          </cell>
          <cell r="AL304">
            <v>0</v>
          </cell>
        </row>
        <row r="305">
          <cell r="R305" t="str">
            <v>200-SC</v>
          </cell>
          <cell r="T305">
            <v>40.729999999999997</v>
          </cell>
          <cell r="V305">
            <v>30.22</v>
          </cell>
          <cell r="X305">
            <v>-5.0999999999999996</v>
          </cell>
          <cell r="Z305">
            <v>-5.0999999999999996</v>
          </cell>
          <cell r="AB305">
            <v>0</v>
          </cell>
          <cell r="AF305">
            <v>0</v>
          </cell>
          <cell r="AH305">
            <v>0</v>
          </cell>
          <cell r="AL305">
            <v>0</v>
          </cell>
        </row>
        <row r="306">
          <cell r="R306"/>
          <cell r="T306">
            <v>42.35</v>
          </cell>
          <cell r="V306">
            <v>30.22</v>
          </cell>
          <cell r="X306">
            <v>-4.7</v>
          </cell>
          <cell r="Z306">
            <v>-5.0999999999999996</v>
          </cell>
          <cell r="AB306"/>
          <cell r="AF306">
            <v>0</v>
          </cell>
          <cell r="AL306">
            <v>0</v>
          </cell>
        </row>
        <row r="307">
          <cell r="R307"/>
          <cell r="T307"/>
          <cell r="V307"/>
          <cell r="X307"/>
          <cell r="Z307"/>
          <cell r="AB307"/>
          <cell r="AF307"/>
        </row>
        <row r="308">
          <cell r="T308"/>
          <cell r="V308"/>
          <cell r="X308"/>
          <cell r="Z308"/>
          <cell r="AB308"/>
          <cell r="AF308"/>
        </row>
        <row r="309">
          <cell r="R309"/>
          <cell r="T309">
            <v>42.18</v>
          </cell>
          <cell r="V309">
            <v>32.06</v>
          </cell>
          <cell r="X309">
            <v>-4.5</v>
          </cell>
          <cell r="Z309">
            <v>-4.5</v>
          </cell>
          <cell r="AB309"/>
          <cell r="AF309"/>
          <cell r="AH309"/>
          <cell r="AL309"/>
        </row>
        <row r="310">
          <cell r="R310"/>
          <cell r="T310">
            <v>42.49</v>
          </cell>
          <cell r="V310">
            <v>32.06</v>
          </cell>
          <cell r="X310">
            <v>-4.5</v>
          </cell>
          <cell r="Z310">
            <v>-4.5000000000000009</v>
          </cell>
          <cell r="AB310"/>
          <cell r="AF310"/>
          <cell r="AH310"/>
          <cell r="AL310"/>
        </row>
        <row r="311">
          <cell r="R311"/>
          <cell r="T311">
            <v>41.47</v>
          </cell>
          <cell r="V311">
            <v>32.06</v>
          </cell>
          <cell r="X311">
            <v>-4.5</v>
          </cell>
          <cell r="Z311">
            <v>-4.5</v>
          </cell>
          <cell r="AB311"/>
          <cell r="AF311"/>
          <cell r="AH311"/>
          <cell r="AL311"/>
        </row>
        <row r="312">
          <cell r="R312"/>
          <cell r="T312">
            <v>42.63</v>
          </cell>
          <cell r="V312">
            <v>32.06</v>
          </cell>
          <cell r="X312">
            <v>-4.5</v>
          </cell>
          <cell r="Z312">
            <v>-4.5</v>
          </cell>
          <cell r="AB312"/>
          <cell r="AF312"/>
          <cell r="AH312"/>
          <cell r="AL312"/>
        </row>
        <row r="313">
          <cell r="R313"/>
          <cell r="T313">
            <v>42.38</v>
          </cell>
          <cell r="V313">
            <v>32.06</v>
          </cell>
          <cell r="X313">
            <v>-4.5</v>
          </cell>
          <cell r="Z313">
            <v>-4.5</v>
          </cell>
          <cell r="AB313"/>
          <cell r="AF313"/>
          <cell r="AH313"/>
          <cell r="AL313"/>
        </row>
        <row r="314">
          <cell r="R314"/>
          <cell r="T314">
            <v>42.28</v>
          </cell>
          <cell r="V314">
            <v>32.06</v>
          </cell>
          <cell r="X314">
            <v>-4.5</v>
          </cell>
          <cell r="Z314">
            <v>-4.4999999999999991</v>
          </cell>
          <cell r="AB314"/>
          <cell r="AF314"/>
          <cell r="AH314"/>
          <cell r="AL314"/>
        </row>
        <row r="315">
          <cell r="R315"/>
          <cell r="T315">
            <v>41.72</v>
          </cell>
          <cell r="V315">
            <v>32.06</v>
          </cell>
          <cell r="X315">
            <v>-4.5</v>
          </cell>
          <cell r="Z315">
            <v>-4.5</v>
          </cell>
          <cell r="AB315"/>
          <cell r="AF315">
            <v>0</v>
          </cell>
          <cell r="AL315">
            <v>0</v>
          </cell>
        </row>
        <row r="316">
          <cell r="R316"/>
          <cell r="T316"/>
          <cell r="V316"/>
          <cell r="X316"/>
          <cell r="Z316"/>
          <cell r="AB316"/>
          <cell r="AF316"/>
        </row>
        <row r="317">
          <cell r="T317"/>
          <cell r="V317"/>
          <cell r="X317"/>
          <cell r="Z317"/>
          <cell r="AB317"/>
          <cell r="AF317"/>
        </row>
        <row r="318">
          <cell r="R318" t="str">
            <v>200-SC</v>
          </cell>
          <cell r="T318">
            <v>42.38</v>
          </cell>
          <cell r="V318">
            <v>32.06</v>
          </cell>
          <cell r="X318">
            <v>-4.5</v>
          </cell>
          <cell r="Z318">
            <v>-4.5</v>
          </cell>
          <cell r="AB318">
            <v>0</v>
          </cell>
          <cell r="AF318">
            <v>0</v>
          </cell>
          <cell r="AH318">
            <v>0</v>
          </cell>
          <cell r="AL318">
            <v>0</v>
          </cell>
        </row>
        <row r="319">
          <cell r="R319" t="str">
            <v>200-SC</v>
          </cell>
          <cell r="T319">
            <v>41.24</v>
          </cell>
          <cell r="V319">
            <v>32.06</v>
          </cell>
          <cell r="X319">
            <v>-4.5</v>
          </cell>
          <cell r="Z319">
            <v>-4.5</v>
          </cell>
          <cell r="AB319">
            <v>0</v>
          </cell>
          <cell r="AF319">
            <v>0</v>
          </cell>
          <cell r="AH319">
            <v>0</v>
          </cell>
          <cell r="AL319">
            <v>0</v>
          </cell>
        </row>
        <row r="320">
          <cell r="R320" t="str">
            <v>200-SC</v>
          </cell>
          <cell r="T320">
            <v>41.57</v>
          </cell>
          <cell r="V320">
            <v>32.06</v>
          </cell>
          <cell r="X320">
            <v>-4.5</v>
          </cell>
          <cell r="Z320">
            <v>-4.5</v>
          </cell>
          <cell r="AB320">
            <v>0</v>
          </cell>
          <cell r="AF320">
            <v>0</v>
          </cell>
          <cell r="AH320">
            <v>0</v>
          </cell>
          <cell r="AL320">
            <v>0</v>
          </cell>
        </row>
        <row r="321">
          <cell r="R321" t="str">
            <v>200-SC</v>
          </cell>
          <cell r="T321">
            <v>42.63</v>
          </cell>
          <cell r="V321">
            <v>32.06</v>
          </cell>
          <cell r="X321">
            <v>-4.5</v>
          </cell>
          <cell r="Z321">
            <v>-4.5</v>
          </cell>
          <cell r="AB321">
            <v>0</v>
          </cell>
          <cell r="AF321">
            <v>0</v>
          </cell>
          <cell r="AH321">
            <v>0</v>
          </cell>
          <cell r="AL321">
            <v>0</v>
          </cell>
        </row>
        <row r="322">
          <cell r="R322" t="str">
            <v>200-SC</v>
          </cell>
          <cell r="T322">
            <v>42.38</v>
          </cell>
          <cell r="V322">
            <v>32.06</v>
          </cell>
          <cell r="X322">
            <v>-4.5</v>
          </cell>
          <cell r="Z322">
            <v>-4.5</v>
          </cell>
          <cell r="AB322">
            <v>0</v>
          </cell>
          <cell r="AF322">
            <v>0</v>
          </cell>
          <cell r="AH322">
            <v>0</v>
          </cell>
          <cell r="AL322">
            <v>0</v>
          </cell>
        </row>
        <row r="323">
          <cell r="R323" t="str">
            <v>200-SC</v>
          </cell>
          <cell r="T323">
            <v>41.89</v>
          </cell>
          <cell r="V323">
            <v>32.06</v>
          </cell>
          <cell r="X323">
            <v>-4.5</v>
          </cell>
          <cell r="Z323">
            <v>-4.5</v>
          </cell>
          <cell r="AB323">
            <v>0</v>
          </cell>
          <cell r="AF323">
            <v>0</v>
          </cell>
          <cell r="AH323">
            <v>0</v>
          </cell>
          <cell r="AL323">
            <v>0</v>
          </cell>
        </row>
        <row r="324">
          <cell r="R324"/>
          <cell r="T324">
            <v>41.75</v>
          </cell>
          <cell r="V324">
            <v>32.06</v>
          </cell>
          <cell r="X324">
            <v>-4.5</v>
          </cell>
          <cell r="Z324">
            <v>-4.4999999999999991</v>
          </cell>
          <cell r="AB324"/>
          <cell r="AF324">
            <v>0</v>
          </cell>
          <cell r="AL324">
            <v>0</v>
          </cell>
        </row>
        <row r="325">
          <cell r="R325"/>
          <cell r="T325"/>
          <cell r="V325"/>
          <cell r="X325"/>
          <cell r="Z325"/>
          <cell r="AB325"/>
          <cell r="AF325"/>
        </row>
        <row r="326">
          <cell r="T326"/>
          <cell r="V326"/>
          <cell r="X326"/>
          <cell r="Z326"/>
          <cell r="AB326"/>
          <cell r="AF326"/>
        </row>
        <row r="327">
          <cell r="R327" t="str">
            <v>200-SC</v>
          </cell>
          <cell r="T327">
            <v>42.15</v>
          </cell>
          <cell r="V327">
            <v>32.06</v>
          </cell>
          <cell r="X327">
            <v>-4.5</v>
          </cell>
          <cell r="Z327">
            <v>-4.5</v>
          </cell>
          <cell r="AB327">
            <v>0</v>
          </cell>
          <cell r="AF327">
            <v>0</v>
          </cell>
          <cell r="AH327">
            <v>0</v>
          </cell>
          <cell r="AL327">
            <v>0</v>
          </cell>
        </row>
        <row r="328">
          <cell r="R328" t="str">
            <v>200-SC</v>
          </cell>
          <cell r="T328">
            <v>42.52</v>
          </cell>
          <cell r="V328">
            <v>32.06</v>
          </cell>
          <cell r="X328">
            <v>-4.5</v>
          </cell>
          <cell r="Z328">
            <v>-4.5</v>
          </cell>
          <cell r="AB328">
            <v>0</v>
          </cell>
          <cell r="AF328">
            <v>0</v>
          </cell>
          <cell r="AH328">
            <v>0</v>
          </cell>
          <cell r="AL328">
            <v>0</v>
          </cell>
        </row>
        <row r="329">
          <cell r="R329" t="str">
            <v>200-SC</v>
          </cell>
          <cell r="T329">
            <v>39.049999999999997</v>
          </cell>
          <cell r="V329">
            <v>32.07</v>
          </cell>
          <cell r="X329">
            <v>-4.5</v>
          </cell>
          <cell r="Z329">
            <v>-4.5</v>
          </cell>
          <cell r="AB329">
            <v>0</v>
          </cell>
          <cell r="AF329">
            <v>0</v>
          </cell>
          <cell r="AH329">
            <v>0</v>
          </cell>
          <cell r="AL329">
            <v>0</v>
          </cell>
        </row>
        <row r="330">
          <cell r="R330">
            <v>0</v>
          </cell>
          <cell r="T330">
            <v>0</v>
          </cell>
          <cell r="V330">
            <v>0</v>
          </cell>
          <cell r="X330">
            <v>0</v>
          </cell>
          <cell r="Z330">
            <v>0</v>
          </cell>
          <cell r="AB330">
            <v>0</v>
          </cell>
          <cell r="AF330">
            <v>0</v>
          </cell>
          <cell r="AH330">
            <v>0</v>
          </cell>
          <cell r="AL330">
            <v>0</v>
          </cell>
        </row>
        <row r="331">
          <cell r="R331" t="str">
            <v>200-SC</v>
          </cell>
          <cell r="T331">
            <v>42.39</v>
          </cell>
          <cell r="V331">
            <v>32.06</v>
          </cell>
          <cell r="X331">
            <v>-4.5</v>
          </cell>
          <cell r="Z331">
            <v>-4.5</v>
          </cell>
          <cell r="AB331">
            <v>0</v>
          </cell>
          <cell r="AF331">
            <v>0</v>
          </cell>
          <cell r="AH331">
            <v>0</v>
          </cell>
          <cell r="AL331">
            <v>0</v>
          </cell>
        </row>
        <row r="332">
          <cell r="R332" t="str">
            <v>200-SC</v>
          </cell>
          <cell r="T332">
            <v>42.29</v>
          </cell>
          <cell r="V332">
            <v>32.06</v>
          </cell>
          <cell r="X332">
            <v>-4.5</v>
          </cell>
          <cell r="Z332">
            <v>-4.5</v>
          </cell>
          <cell r="AB332">
            <v>0</v>
          </cell>
          <cell r="AF332">
            <v>0</v>
          </cell>
          <cell r="AH332">
            <v>0</v>
          </cell>
          <cell r="AL332">
            <v>0</v>
          </cell>
        </row>
        <row r="333">
          <cell r="R333"/>
          <cell r="T333">
            <v>41.49</v>
          </cell>
          <cell r="V333">
            <v>32.06</v>
          </cell>
          <cell r="X333">
            <v>-4.5</v>
          </cell>
          <cell r="Z333">
            <v>-4.5000000000000009</v>
          </cell>
          <cell r="AB333"/>
          <cell r="AF333">
            <v>0</v>
          </cell>
          <cell r="AL333">
            <v>0</v>
          </cell>
        </row>
        <row r="334">
          <cell r="R334"/>
          <cell r="T334"/>
          <cell r="V334"/>
          <cell r="X334"/>
          <cell r="Z334"/>
          <cell r="AB334"/>
          <cell r="AF334"/>
        </row>
        <row r="335">
          <cell r="T335"/>
          <cell r="V335"/>
          <cell r="X335"/>
          <cell r="Z335"/>
          <cell r="AB335"/>
          <cell r="AF335"/>
        </row>
        <row r="336">
          <cell r="R336" t="str">
            <v>200-SC</v>
          </cell>
          <cell r="T336">
            <v>42.38</v>
          </cell>
          <cell r="V336">
            <v>34.799999999999997</v>
          </cell>
          <cell r="X336">
            <v>-9.6</v>
          </cell>
          <cell r="Z336">
            <v>-9.6</v>
          </cell>
          <cell r="AB336">
            <v>0</v>
          </cell>
          <cell r="AF336">
            <v>0</v>
          </cell>
          <cell r="AH336">
            <v>0</v>
          </cell>
          <cell r="AL336">
            <v>0</v>
          </cell>
        </row>
        <row r="337">
          <cell r="R337" t="str">
            <v>200-SC</v>
          </cell>
          <cell r="T337">
            <v>42.56</v>
          </cell>
          <cell r="V337">
            <v>34.799999999999997</v>
          </cell>
          <cell r="X337">
            <v>-9.6</v>
          </cell>
          <cell r="Z337">
            <v>-9.6</v>
          </cell>
          <cell r="AB337">
            <v>0</v>
          </cell>
          <cell r="AF337">
            <v>0</v>
          </cell>
          <cell r="AH337">
            <v>0</v>
          </cell>
          <cell r="AL337">
            <v>0</v>
          </cell>
        </row>
        <row r="338">
          <cell r="R338" t="str">
            <v>200-SC</v>
          </cell>
          <cell r="T338">
            <v>37.4</v>
          </cell>
          <cell r="V338">
            <v>34.82</v>
          </cell>
          <cell r="X338">
            <v>-7.9</v>
          </cell>
          <cell r="Z338">
            <v>-9.6</v>
          </cell>
          <cell r="AB338">
            <v>0</v>
          </cell>
          <cell r="AF338">
            <v>0</v>
          </cell>
          <cell r="AH338">
            <v>0</v>
          </cell>
          <cell r="AL338">
            <v>0</v>
          </cell>
        </row>
        <row r="339">
          <cell r="R339" t="str">
            <v>200-SC</v>
          </cell>
          <cell r="T339">
            <v>40.729999999999997</v>
          </cell>
          <cell r="V339">
            <v>34.799999999999997</v>
          </cell>
          <cell r="X339">
            <v>-5.7</v>
          </cell>
          <cell r="Z339">
            <v>-9.6</v>
          </cell>
          <cell r="AB339">
            <v>0</v>
          </cell>
          <cell r="AF339">
            <v>0</v>
          </cell>
          <cell r="AH339">
            <v>0</v>
          </cell>
          <cell r="AL339">
            <v>0</v>
          </cell>
        </row>
        <row r="340">
          <cell r="R340" t="str">
            <v>200-SC</v>
          </cell>
          <cell r="T340">
            <v>35.29</v>
          </cell>
          <cell r="V340">
            <v>34.83</v>
          </cell>
          <cell r="X340">
            <v>-9.6</v>
          </cell>
          <cell r="Z340">
            <v>-9.6</v>
          </cell>
          <cell r="AB340">
            <v>0</v>
          </cell>
          <cell r="AF340">
            <v>0</v>
          </cell>
          <cell r="AH340">
            <v>0</v>
          </cell>
          <cell r="AL340">
            <v>0</v>
          </cell>
        </row>
        <row r="341">
          <cell r="R341" t="str">
            <v>200-SC</v>
          </cell>
          <cell r="T341">
            <v>42.48</v>
          </cell>
          <cell r="V341">
            <v>34.799999999999997</v>
          </cell>
          <cell r="X341">
            <v>-9.6</v>
          </cell>
          <cell r="Z341">
            <v>-9.6</v>
          </cell>
          <cell r="AB341">
            <v>0</v>
          </cell>
          <cell r="AF341">
            <v>0</v>
          </cell>
          <cell r="AH341">
            <v>0</v>
          </cell>
          <cell r="AL341">
            <v>0</v>
          </cell>
        </row>
        <row r="342">
          <cell r="R342"/>
          <cell r="T342">
            <v>40.97</v>
          </cell>
          <cell r="V342">
            <v>34.799999999999997</v>
          </cell>
          <cell r="X342">
            <v>-8.2000000000000011</v>
          </cell>
          <cell r="Z342">
            <v>-9.6</v>
          </cell>
          <cell r="AB342"/>
          <cell r="AF342">
            <v>0</v>
          </cell>
          <cell r="AL342">
            <v>0</v>
          </cell>
        </row>
        <row r="343">
          <cell r="T343"/>
          <cell r="V343"/>
          <cell r="X343"/>
          <cell r="Z343"/>
          <cell r="AB343"/>
          <cell r="AF343"/>
        </row>
        <row r="344">
          <cell r="T344"/>
          <cell r="V344"/>
          <cell r="X344"/>
          <cell r="Z344"/>
          <cell r="AB344"/>
          <cell r="AF344"/>
        </row>
        <row r="345">
          <cell r="R345"/>
          <cell r="T345">
            <v>34.58</v>
          </cell>
          <cell r="V345">
            <v>13.74</v>
          </cell>
          <cell r="X345">
            <v>-10.7</v>
          </cell>
          <cell r="Z345">
            <v>-11.530415113194785</v>
          </cell>
          <cell r="AB345"/>
          <cell r="AF345"/>
          <cell r="AH345"/>
          <cell r="AL345"/>
        </row>
        <row r="346">
          <cell r="R346"/>
          <cell r="T346">
            <v>42.7</v>
          </cell>
          <cell r="V346">
            <v>30.22</v>
          </cell>
          <cell r="X346">
            <v>-3.2</v>
          </cell>
          <cell r="Z346">
            <v>-3.2</v>
          </cell>
          <cell r="AB346"/>
          <cell r="AF346"/>
          <cell r="AH346"/>
          <cell r="AL346"/>
        </row>
        <row r="347">
          <cell r="R347"/>
          <cell r="T347">
            <v>15.51</v>
          </cell>
          <cell r="V347">
            <v>12.3</v>
          </cell>
          <cell r="X347">
            <v>-10.1</v>
          </cell>
          <cell r="Z347">
            <v>-12.61953709942008</v>
          </cell>
          <cell r="AB347"/>
          <cell r="AF347"/>
          <cell r="AH347"/>
          <cell r="AL347"/>
        </row>
        <row r="348">
          <cell r="R348"/>
          <cell r="T348">
            <v>42.21</v>
          </cell>
          <cell r="V348">
            <v>22.77</v>
          </cell>
          <cell r="X348">
            <v>-6.9</v>
          </cell>
          <cell r="Z348">
            <v>-7.1555764569529776</v>
          </cell>
          <cell r="AB348"/>
          <cell r="AF348"/>
          <cell r="AH348"/>
          <cell r="AL348"/>
        </row>
        <row r="349">
          <cell r="R349"/>
          <cell r="T349">
            <v>33.619999999999997</v>
          </cell>
          <cell r="V349">
            <v>17.600000000000001</v>
          </cell>
          <cell r="X349">
            <v>-8.3000000000000007</v>
          </cell>
          <cell r="Z349">
            <v>-9.214062599963027</v>
          </cell>
          <cell r="AB349"/>
          <cell r="AF349"/>
          <cell r="AH349"/>
          <cell r="AL349"/>
        </row>
        <row r="350">
          <cell r="R350"/>
          <cell r="T350">
            <v>38.64</v>
          </cell>
          <cell r="V350">
            <v>14.59</v>
          </cell>
          <cell r="X350">
            <v>-9.8000000000000007</v>
          </cell>
          <cell r="Z350">
            <v>-11.03362636056521</v>
          </cell>
          <cell r="AB350"/>
          <cell r="AF350"/>
          <cell r="AH350"/>
          <cell r="AL350"/>
        </row>
        <row r="351">
          <cell r="R351"/>
          <cell r="T351">
            <v>37.090000000000003</v>
          </cell>
          <cell r="V351">
            <v>20.309999999999999</v>
          </cell>
          <cell r="X351">
            <v>-7.3999999999999995</v>
          </cell>
          <cell r="Z351">
            <v>-7.8538954094154487</v>
          </cell>
          <cell r="AB351"/>
          <cell r="AF351">
            <v>-1.5</v>
          </cell>
          <cell r="AL351">
            <v>-1.5</v>
          </cell>
        </row>
        <row r="352">
          <cell r="T352"/>
          <cell r="V352"/>
          <cell r="X352"/>
          <cell r="Z352"/>
          <cell r="AB352"/>
          <cell r="AF352"/>
        </row>
        <row r="353">
          <cell r="T353"/>
          <cell r="V353"/>
          <cell r="X353"/>
          <cell r="Z353"/>
          <cell r="AB353"/>
          <cell r="AF353"/>
        </row>
        <row r="354">
          <cell r="R354" t="str">
            <v>200-SC</v>
          </cell>
          <cell r="T354">
            <v>29.1</v>
          </cell>
          <cell r="V354">
            <v>12.3</v>
          </cell>
          <cell r="X354">
            <v>-11</v>
          </cell>
          <cell r="Z354">
            <v>-11</v>
          </cell>
          <cell r="AB354">
            <v>0</v>
          </cell>
          <cell r="AF354">
            <v>0</v>
          </cell>
          <cell r="AH354">
            <v>0</v>
          </cell>
          <cell r="AL354">
            <v>0</v>
          </cell>
        </row>
        <row r="355">
          <cell r="R355">
            <v>0</v>
          </cell>
          <cell r="T355">
            <v>0</v>
          </cell>
          <cell r="V355">
            <v>0</v>
          </cell>
          <cell r="X355">
            <v>0</v>
          </cell>
          <cell r="Z355">
            <v>0</v>
          </cell>
          <cell r="AB355">
            <v>0</v>
          </cell>
          <cell r="AF355">
            <v>0</v>
          </cell>
          <cell r="AH355">
            <v>0</v>
          </cell>
          <cell r="AL355">
            <v>0</v>
          </cell>
        </row>
        <row r="356">
          <cell r="R356" t="str">
            <v>200-SC</v>
          </cell>
          <cell r="T356">
            <v>19.7</v>
          </cell>
          <cell r="V356">
            <v>12.3</v>
          </cell>
          <cell r="X356">
            <v>-10.9</v>
          </cell>
          <cell r="Z356">
            <v>-11</v>
          </cell>
          <cell r="AB356">
            <v>0</v>
          </cell>
          <cell r="AF356">
            <v>0</v>
          </cell>
          <cell r="AH356">
            <v>0</v>
          </cell>
          <cell r="AL356">
            <v>0</v>
          </cell>
        </row>
        <row r="357">
          <cell r="R357" t="str">
            <v>200-SC</v>
          </cell>
          <cell r="T357">
            <v>38.799999999999997</v>
          </cell>
          <cell r="V357">
            <v>12.29</v>
          </cell>
          <cell r="X357">
            <v>-10.9</v>
          </cell>
          <cell r="Z357">
            <v>-11</v>
          </cell>
          <cell r="AB357">
            <v>0</v>
          </cell>
          <cell r="AF357">
            <v>-10</v>
          </cell>
          <cell r="AH357">
            <v>0</v>
          </cell>
          <cell r="AL357">
            <v>-10</v>
          </cell>
        </row>
        <row r="358">
          <cell r="R358" t="str">
            <v>200-SC</v>
          </cell>
          <cell r="T358">
            <v>28.69</v>
          </cell>
          <cell r="V358">
            <v>12.3</v>
          </cell>
          <cell r="X358">
            <v>-10.8</v>
          </cell>
          <cell r="Z358">
            <v>-11</v>
          </cell>
          <cell r="AB358">
            <v>0</v>
          </cell>
          <cell r="AF358">
            <v>-0.6</v>
          </cell>
          <cell r="AH358">
            <v>0</v>
          </cell>
          <cell r="AL358">
            <v>-0.6</v>
          </cell>
        </row>
        <row r="359">
          <cell r="R359" t="str">
            <v>200-SC</v>
          </cell>
          <cell r="T359">
            <v>30.66</v>
          </cell>
          <cell r="V359">
            <v>12.3</v>
          </cell>
          <cell r="X359">
            <v>-11</v>
          </cell>
          <cell r="Z359">
            <v>-11</v>
          </cell>
          <cell r="AB359">
            <v>0</v>
          </cell>
          <cell r="AF359">
            <v>0</v>
          </cell>
          <cell r="AH359">
            <v>0</v>
          </cell>
          <cell r="AL359">
            <v>0</v>
          </cell>
        </row>
        <row r="360">
          <cell r="R360"/>
          <cell r="T360">
            <v>32.33</v>
          </cell>
          <cell r="V360">
            <v>12.29</v>
          </cell>
          <cell r="X360">
            <v>-10.9</v>
          </cell>
          <cell r="Z360">
            <v>-11</v>
          </cell>
          <cell r="AB360"/>
          <cell r="AF360">
            <v>-9.4</v>
          </cell>
          <cell r="AL360">
            <v>-9.4</v>
          </cell>
        </row>
        <row r="361">
          <cell r="R361"/>
          <cell r="T361"/>
          <cell r="V361"/>
          <cell r="X361"/>
          <cell r="Z361"/>
          <cell r="AB361"/>
          <cell r="AF361"/>
        </row>
        <row r="362">
          <cell r="T362"/>
          <cell r="V362"/>
          <cell r="X362"/>
          <cell r="Z362"/>
          <cell r="AB362"/>
          <cell r="AF362"/>
        </row>
        <row r="363">
          <cell r="R363" t="str">
            <v>200-SC</v>
          </cell>
          <cell r="T363">
            <v>41.27</v>
          </cell>
          <cell r="V363">
            <v>12.29</v>
          </cell>
          <cell r="X363">
            <v>-14.6</v>
          </cell>
          <cell r="Z363">
            <v>-14.6</v>
          </cell>
          <cell r="AB363">
            <v>0</v>
          </cell>
          <cell r="AF363">
            <v>0</v>
          </cell>
          <cell r="AH363">
            <v>0</v>
          </cell>
          <cell r="AL363">
            <v>0</v>
          </cell>
        </row>
        <row r="364">
          <cell r="R364">
            <v>0</v>
          </cell>
          <cell r="T364">
            <v>0</v>
          </cell>
          <cell r="V364">
            <v>0</v>
          </cell>
          <cell r="X364">
            <v>0</v>
          </cell>
          <cell r="Z364">
            <v>0</v>
          </cell>
          <cell r="AB364">
            <v>0</v>
          </cell>
          <cell r="AF364">
            <v>0</v>
          </cell>
          <cell r="AH364">
            <v>0</v>
          </cell>
          <cell r="AL364">
            <v>0</v>
          </cell>
        </row>
        <row r="365">
          <cell r="R365" t="str">
            <v>200-SC</v>
          </cell>
          <cell r="T365">
            <v>8.23</v>
          </cell>
          <cell r="V365">
            <v>12.31</v>
          </cell>
          <cell r="X365">
            <v>-5.7</v>
          </cell>
          <cell r="Z365">
            <v>-14.7</v>
          </cell>
          <cell r="AB365">
            <v>0</v>
          </cell>
          <cell r="AF365">
            <v>0</v>
          </cell>
          <cell r="AH365">
            <v>0</v>
          </cell>
          <cell r="AL365">
            <v>0</v>
          </cell>
        </row>
        <row r="366">
          <cell r="R366" t="str">
            <v>200-SC</v>
          </cell>
          <cell r="T366">
            <v>43.04</v>
          </cell>
          <cell r="V366">
            <v>12.29</v>
          </cell>
          <cell r="X366">
            <v>-13.8</v>
          </cell>
          <cell r="Z366">
            <v>-14.6</v>
          </cell>
          <cell r="AB366">
            <v>0</v>
          </cell>
          <cell r="AF366">
            <v>-1.5</v>
          </cell>
          <cell r="AH366">
            <v>0</v>
          </cell>
          <cell r="AL366">
            <v>-1.5</v>
          </cell>
        </row>
        <row r="367">
          <cell r="R367" t="str">
            <v>200-SC</v>
          </cell>
          <cell r="T367">
            <v>31.85</v>
          </cell>
          <cell r="V367">
            <v>12.29</v>
          </cell>
          <cell r="X367">
            <v>-14.2</v>
          </cell>
          <cell r="Z367">
            <v>-14.7</v>
          </cell>
          <cell r="AB367">
            <v>0</v>
          </cell>
          <cell r="AF367">
            <v>-0.6</v>
          </cell>
          <cell r="AH367">
            <v>0</v>
          </cell>
          <cell r="AL367">
            <v>-0.6</v>
          </cell>
        </row>
        <row r="368">
          <cell r="R368" t="str">
            <v>200-SC</v>
          </cell>
          <cell r="T368">
            <v>53.34</v>
          </cell>
          <cell r="V368">
            <v>12.28</v>
          </cell>
          <cell r="X368">
            <v>-14.6</v>
          </cell>
          <cell r="Z368">
            <v>-14.6</v>
          </cell>
          <cell r="AB368">
            <v>0</v>
          </cell>
          <cell r="AF368">
            <v>0</v>
          </cell>
          <cell r="AH368">
            <v>0</v>
          </cell>
          <cell r="AL368">
            <v>0</v>
          </cell>
        </row>
        <row r="369">
          <cell r="R369"/>
          <cell r="T369">
            <v>33.25</v>
          </cell>
          <cell r="V369">
            <v>12.29</v>
          </cell>
          <cell r="X369">
            <v>-12.8</v>
          </cell>
          <cell r="Z369">
            <v>-14.617733626206839</v>
          </cell>
          <cell r="AB369"/>
          <cell r="AF369">
            <v>-0.5</v>
          </cell>
          <cell r="AL369">
            <v>-0.5</v>
          </cell>
        </row>
        <row r="370">
          <cell r="R370"/>
          <cell r="T370"/>
          <cell r="V370"/>
          <cell r="X370"/>
          <cell r="Z370"/>
          <cell r="AB370"/>
          <cell r="AF370"/>
        </row>
        <row r="371">
          <cell r="T371"/>
          <cell r="V371"/>
          <cell r="X371"/>
          <cell r="Z371"/>
          <cell r="AB371"/>
          <cell r="AF371"/>
        </row>
        <row r="372">
          <cell r="R372" t="str">
            <v>200-SC</v>
          </cell>
          <cell r="T372">
            <v>41.27</v>
          </cell>
          <cell r="V372">
            <v>12.29</v>
          </cell>
          <cell r="X372">
            <v>-13.200000000000001</v>
          </cell>
          <cell r="Z372">
            <v>-13.200000000000001</v>
          </cell>
          <cell r="AB372">
            <v>0</v>
          </cell>
          <cell r="AF372">
            <v>0</v>
          </cell>
          <cell r="AH372">
            <v>0</v>
          </cell>
          <cell r="AL372">
            <v>0</v>
          </cell>
        </row>
        <row r="373">
          <cell r="R373">
            <v>0</v>
          </cell>
          <cell r="T373">
            <v>0</v>
          </cell>
          <cell r="V373">
            <v>0</v>
          </cell>
          <cell r="X373">
            <v>0</v>
          </cell>
          <cell r="Z373">
            <v>0</v>
          </cell>
          <cell r="AB373">
            <v>0</v>
          </cell>
          <cell r="AF373">
            <v>0</v>
          </cell>
          <cell r="AH373">
            <v>0</v>
          </cell>
          <cell r="AL373">
            <v>0</v>
          </cell>
        </row>
        <row r="374">
          <cell r="R374" t="str">
            <v>200-SC</v>
          </cell>
          <cell r="T374">
            <v>17.12</v>
          </cell>
          <cell r="V374">
            <v>12.3</v>
          </cell>
          <cell r="X374">
            <v>-12.7</v>
          </cell>
          <cell r="Z374">
            <v>-13.200000000000001</v>
          </cell>
          <cell r="AB374">
            <v>0</v>
          </cell>
          <cell r="AF374">
            <v>0</v>
          </cell>
          <cell r="AH374">
            <v>0</v>
          </cell>
          <cell r="AL374">
            <v>0</v>
          </cell>
        </row>
        <row r="375">
          <cell r="R375" t="str">
            <v>200-SC</v>
          </cell>
          <cell r="T375">
            <v>43.69</v>
          </cell>
          <cell r="V375">
            <v>12.29</v>
          </cell>
          <cell r="X375">
            <v>-11.9</v>
          </cell>
          <cell r="Z375">
            <v>-13.200000000000001</v>
          </cell>
          <cell r="AB375">
            <v>0</v>
          </cell>
          <cell r="AF375">
            <v>-0.9</v>
          </cell>
          <cell r="AH375">
            <v>0</v>
          </cell>
          <cell r="AL375">
            <v>-0.9</v>
          </cell>
        </row>
        <row r="376">
          <cell r="R376" t="str">
            <v>200-SC</v>
          </cell>
          <cell r="T376">
            <v>31.87</v>
          </cell>
          <cell r="V376">
            <v>12.29</v>
          </cell>
          <cell r="X376">
            <v>-12.8</v>
          </cell>
          <cell r="Z376">
            <v>-13.200000000000001</v>
          </cell>
          <cell r="AB376">
            <v>0</v>
          </cell>
          <cell r="AF376">
            <v>-0.6</v>
          </cell>
          <cell r="AH376">
            <v>0</v>
          </cell>
          <cell r="AL376">
            <v>-0.6</v>
          </cell>
        </row>
        <row r="377">
          <cell r="R377" t="str">
            <v>200-SC</v>
          </cell>
          <cell r="T377">
            <v>53.34</v>
          </cell>
          <cell r="V377">
            <v>12.28</v>
          </cell>
          <cell r="X377">
            <v>-13.200000000000001</v>
          </cell>
          <cell r="Z377">
            <v>-13.200000000000001</v>
          </cell>
          <cell r="AB377">
            <v>0</v>
          </cell>
          <cell r="AF377">
            <v>0</v>
          </cell>
          <cell r="AH377">
            <v>0</v>
          </cell>
          <cell r="AL377">
            <v>0</v>
          </cell>
        </row>
        <row r="378">
          <cell r="R378"/>
          <cell r="T378">
            <v>32.54</v>
          </cell>
          <cell r="V378">
            <v>12.29</v>
          </cell>
          <cell r="X378">
            <v>-12.2</v>
          </cell>
          <cell r="Z378">
            <v>-13.200000000000001</v>
          </cell>
          <cell r="AB378"/>
          <cell r="AF378">
            <v>-0.8</v>
          </cell>
          <cell r="AL378">
            <v>-0.8</v>
          </cell>
        </row>
        <row r="379">
          <cell r="R379"/>
          <cell r="T379"/>
          <cell r="V379"/>
          <cell r="X379"/>
          <cell r="Z379"/>
          <cell r="AB379"/>
          <cell r="AF379"/>
        </row>
        <row r="380">
          <cell r="T380"/>
          <cell r="V380"/>
          <cell r="X380"/>
          <cell r="Z380"/>
          <cell r="AB380"/>
          <cell r="AF380"/>
        </row>
        <row r="381">
          <cell r="R381" t="str">
            <v>200-SC</v>
          </cell>
          <cell r="T381">
            <v>41.22</v>
          </cell>
          <cell r="V381">
            <v>30.22</v>
          </cell>
          <cell r="X381">
            <v>5</v>
          </cell>
          <cell r="Z381">
            <v>-3.2</v>
          </cell>
          <cell r="AB381">
            <v>230</v>
          </cell>
          <cell r="AF381">
            <v>230</v>
          </cell>
          <cell r="AH381">
            <v>230</v>
          </cell>
          <cell r="AL381">
            <v>230</v>
          </cell>
        </row>
        <row r="382">
          <cell r="R382" t="str">
            <v>200-SC</v>
          </cell>
          <cell r="T382">
            <v>42.7</v>
          </cell>
          <cell r="V382">
            <v>30.22</v>
          </cell>
          <cell r="X382">
            <v>-3.2</v>
          </cell>
          <cell r="Z382">
            <v>-3.2</v>
          </cell>
          <cell r="AB382">
            <v>0</v>
          </cell>
          <cell r="AF382">
            <v>0</v>
          </cell>
          <cell r="AH382">
            <v>0</v>
          </cell>
          <cell r="AL382">
            <v>0</v>
          </cell>
        </row>
        <row r="383">
          <cell r="R383">
            <v>0</v>
          </cell>
          <cell r="T383">
            <v>0</v>
          </cell>
          <cell r="V383">
            <v>0</v>
          </cell>
          <cell r="X383">
            <v>0</v>
          </cell>
          <cell r="Z383">
            <v>0</v>
          </cell>
          <cell r="AB383">
            <v>0</v>
          </cell>
          <cell r="AF383">
            <v>0</v>
          </cell>
          <cell r="AH383">
            <v>0</v>
          </cell>
          <cell r="AL383">
            <v>0</v>
          </cell>
        </row>
        <row r="384">
          <cell r="R384" t="str">
            <v>200-SC</v>
          </cell>
          <cell r="T384">
            <v>42.66</v>
          </cell>
          <cell r="V384">
            <v>30.22</v>
          </cell>
          <cell r="X384">
            <v>-3</v>
          </cell>
          <cell r="Z384">
            <v>-3.2</v>
          </cell>
          <cell r="AB384">
            <v>0</v>
          </cell>
          <cell r="AF384">
            <v>0</v>
          </cell>
          <cell r="AH384">
            <v>0</v>
          </cell>
          <cell r="AL384">
            <v>0</v>
          </cell>
        </row>
        <row r="385">
          <cell r="R385" t="str">
            <v>200-SC</v>
          </cell>
          <cell r="T385">
            <v>41.29</v>
          </cell>
          <cell r="V385">
            <v>30.22</v>
          </cell>
          <cell r="X385">
            <v>-2.6</v>
          </cell>
          <cell r="Z385">
            <v>-3.2</v>
          </cell>
          <cell r="AB385">
            <v>0</v>
          </cell>
          <cell r="AF385">
            <v>0</v>
          </cell>
          <cell r="AH385">
            <v>0</v>
          </cell>
          <cell r="AL385">
            <v>0</v>
          </cell>
        </row>
        <row r="386">
          <cell r="R386" t="str">
            <v>200-SC</v>
          </cell>
          <cell r="T386">
            <v>42.7</v>
          </cell>
          <cell r="V386">
            <v>30.22</v>
          </cell>
          <cell r="X386">
            <v>-1.7000000000000002</v>
          </cell>
          <cell r="Z386">
            <v>-3.2</v>
          </cell>
          <cell r="AB386">
            <v>0</v>
          </cell>
          <cell r="AF386">
            <v>0</v>
          </cell>
          <cell r="AH386">
            <v>0</v>
          </cell>
          <cell r="AL386">
            <v>0</v>
          </cell>
        </row>
        <row r="387">
          <cell r="R387"/>
          <cell r="T387">
            <v>42.56</v>
          </cell>
          <cell r="V387">
            <v>30.22</v>
          </cell>
          <cell r="X387">
            <v>-3</v>
          </cell>
          <cell r="Z387">
            <v>-3.2</v>
          </cell>
          <cell r="AB387"/>
          <cell r="AF387">
            <v>0.70000000000000007</v>
          </cell>
          <cell r="AL387">
            <v>0.70000000000000007</v>
          </cell>
        </row>
        <row r="388">
          <cell r="R388"/>
          <cell r="T388"/>
          <cell r="V388"/>
          <cell r="X388"/>
          <cell r="Z388"/>
          <cell r="AB388"/>
          <cell r="AF388"/>
        </row>
        <row r="389">
          <cell r="T389"/>
          <cell r="V389"/>
          <cell r="X389"/>
          <cell r="Z389"/>
          <cell r="AB389"/>
          <cell r="AF389"/>
        </row>
        <row r="390">
          <cell r="R390" t="str">
            <v>S6</v>
          </cell>
          <cell r="T390">
            <v>28</v>
          </cell>
          <cell r="V390">
            <v>16.149999999999999</v>
          </cell>
          <cell r="X390">
            <v>-5</v>
          </cell>
          <cell r="Z390">
            <v>-5</v>
          </cell>
          <cell r="AB390">
            <v>0</v>
          </cell>
          <cell r="AF390">
            <v>0</v>
          </cell>
          <cell r="AH390">
            <v>0</v>
          </cell>
          <cell r="AL390">
            <v>0</v>
          </cell>
        </row>
        <row r="391">
          <cell r="R391" t="str">
            <v>S6</v>
          </cell>
          <cell r="T391">
            <v>28</v>
          </cell>
          <cell r="V391">
            <v>27.5</v>
          </cell>
          <cell r="X391">
            <v>-5</v>
          </cell>
          <cell r="Z391">
            <v>-5</v>
          </cell>
          <cell r="AB391">
            <v>0</v>
          </cell>
          <cell r="AF391">
            <v>0</v>
          </cell>
          <cell r="AH391">
            <v>0</v>
          </cell>
          <cell r="AL391">
            <v>0</v>
          </cell>
        </row>
        <row r="392">
          <cell r="R392" t="str">
            <v>S6</v>
          </cell>
          <cell r="T392">
            <v>28</v>
          </cell>
          <cell r="V392">
            <v>25.5</v>
          </cell>
          <cell r="X392">
            <v>-5</v>
          </cell>
          <cell r="Z392">
            <v>-5</v>
          </cell>
          <cell r="AB392">
            <v>0</v>
          </cell>
          <cell r="AF392">
            <v>0</v>
          </cell>
          <cell r="AH392">
            <v>0</v>
          </cell>
          <cell r="AL392">
            <v>0</v>
          </cell>
        </row>
        <row r="393">
          <cell r="R393" t="str">
            <v>S6</v>
          </cell>
          <cell r="T393">
            <v>28</v>
          </cell>
          <cell r="V393">
            <v>24.5</v>
          </cell>
          <cell r="X393">
            <v>-5</v>
          </cell>
          <cell r="Z393">
            <v>-5</v>
          </cell>
          <cell r="AB393">
            <v>0</v>
          </cell>
          <cell r="AF393">
            <v>0</v>
          </cell>
          <cell r="AH393">
            <v>0</v>
          </cell>
          <cell r="AL393">
            <v>0</v>
          </cell>
        </row>
        <row r="394">
          <cell r="R394" t="str">
            <v>S6</v>
          </cell>
          <cell r="T394">
            <v>28</v>
          </cell>
          <cell r="V394">
            <v>16.829999999999998</v>
          </cell>
          <cell r="X394">
            <v>-5</v>
          </cell>
          <cell r="Z394">
            <v>-5</v>
          </cell>
          <cell r="AB394">
            <v>0</v>
          </cell>
          <cell r="AF394">
            <v>0</v>
          </cell>
          <cell r="AH394">
            <v>0</v>
          </cell>
          <cell r="AL394">
            <v>0</v>
          </cell>
        </row>
        <row r="395">
          <cell r="R395" t="str">
            <v>S6</v>
          </cell>
          <cell r="T395">
            <v>28</v>
          </cell>
          <cell r="V395">
            <v>25.5</v>
          </cell>
          <cell r="X395">
            <v>-5</v>
          </cell>
          <cell r="Z395">
            <v>-5</v>
          </cell>
          <cell r="AB395">
            <v>0</v>
          </cell>
          <cell r="AF395">
            <v>0</v>
          </cell>
          <cell r="AH395">
            <v>0</v>
          </cell>
          <cell r="AL395">
            <v>0</v>
          </cell>
        </row>
        <row r="396">
          <cell r="R396" t="str">
            <v>S6</v>
          </cell>
          <cell r="T396">
            <v>28</v>
          </cell>
          <cell r="V396">
            <v>16.11</v>
          </cell>
          <cell r="X396">
            <v>-5</v>
          </cell>
          <cell r="Z396">
            <v>-5</v>
          </cell>
          <cell r="AB396">
            <v>0</v>
          </cell>
          <cell r="AF396">
            <v>0</v>
          </cell>
          <cell r="AH396">
            <v>0</v>
          </cell>
          <cell r="AL396">
            <v>0</v>
          </cell>
        </row>
        <row r="397">
          <cell r="R397" t="str">
            <v>S6</v>
          </cell>
          <cell r="T397">
            <v>28</v>
          </cell>
          <cell r="V397">
            <v>23.5</v>
          </cell>
          <cell r="X397">
            <v>-5</v>
          </cell>
          <cell r="Z397">
            <v>-5</v>
          </cell>
          <cell r="AB397">
            <v>0</v>
          </cell>
          <cell r="AF397">
            <v>0</v>
          </cell>
          <cell r="AH397">
            <v>0</v>
          </cell>
          <cell r="AL397">
            <v>0</v>
          </cell>
        </row>
        <row r="398">
          <cell r="R398" t="str">
            <v>S6</v>
          </cell>
          <cell r="T398">
            <v>28</v>
          </cell>
          <cell r="V398">
            <v>11.82</v>
          </cell>
          <cell r="X398">
            <v>-5</v>
          </cell>
          <cell r="Z398">
            <v>-5</v>
          </cell>
          <cell r="AB398">
            <v>0</v>
          </cell>
          <cell r="AF398">
            <v>0</v>
          </cell>
          <cell r="AH398">
            <v>0</v>
          </cell>
          <cell r="AL398">
            <v>0</v>
          </cell>
        </row>
        <row r="399">
          <cell r="R399" t="str">
            <v>S6</v>
          </cell>
          <cell r="T399">
            <v>28</v>
          </cell>
          <cell r="V399">
            <v>23.5</v>
          </cell>
          <cell r="X399">
            <v>-5</v>
          </cell>
          <cell r="Z399">
            <v>-5</v>
          </cell>
          <cell r="AB399">
            <v>0</v>
          </cell>
          <cell r="AF399">
            <v>0</v>
          </cell>
          <cell r="AH399">
            <v>0</v>
          </cell>
          <cell r="AL399">
            <v>0</v>
          </cell>
        </row>
        <row r="400">
          <cell r="R400" t="str">
            <v>S6</v>
          </cell>
          <cell r="T400">
            <v>28</v>
          </cell>
          <cell r="V400">
            <v>24.5</v>
          </cell>
          <cell r="X400">
            <v>-5</v>
          </cell>
          <cell r="Z400">
            <v>-5</v>
          </cell>
          <cell r="AB400">
            <v>0</v>
          </cell>
          <cell r="AF400">
            <v>0</v>
          </cell>
          <cell r="AH400">
            <v>0</v>
          </cell>
          <cell r="AL400">
            <v>0</v>
          </cell>
        </row>
        <row r="401">
          <cell r="R401" t="str">
            <v>S6</v>
          </cell>
          <cell r="T401">
            <v>28</v>
          </cell>
          <cell r="V401">
            <v>27.5</v>
          </cell>
          <cell r="X401">
            <v>-5</v>
          </cell>
          <cell r="Z401">
            <v>-5</v>
          </cell>
          <cell r="AB401">
            <v>0</v>
          </cell>
          <cell r="AF401">
            <v>0</v>
          </cell>
          <cell r="AH401">
            <v>0</v>
          </cell>
          <cell r="AL401">
            <v>0</v>
          </cell>
        </row>
        <row r="402">
          <cell r="R402"/>
          <cell r="T402">
            <v>28</v>
          </cell>
          <cell r="V402">
            <v>24.49</v>
          </cell>
          <cell r="X402">
            <v>-5</v>
          </cell>
          <cell r="Z402">
            <v>-5.0000000000000009</v>
          </cell>
          <cell r="AB402"/>
          <cell r="AF402">
            <v>0</v>
          </cell>
          <cell r="AL402">
            <v>0</v>
          </cell>
        </row>
        <row r="403">
          <cell r="R403"/>
          <cell r="T403"/>
          <cell r="V403"/>
          <cell r="X403"/>
          <cell r="Z403"/>
          <cell r="AB403"/>
          <cell r="AF403"/>
        </row>
        <row r="404">
          <cell r="T404"/>
          <cell r="V404"/>
          <cell r="X404"/>
          <cell r="Z404"/>
          <cell r="AB404"/>
          <cell r="AF404"/>
        </row>
        <row r="405">
          <cell r="R405"/>
          <cell r="T405">
            <v>37.43</v>
          </cell>
          <cell r="V405">
            <v>12.29</v>
          </cell>
          <cell r="X405">
            <v>-1.5</v>
          </cell>
          <cell r="Z405">
            <v>-1.7499999999999998</v>
          </cell>
          <cell r="AB405"/>
          <cell r="AF405"/>
          <cell r="AH405"/>
          <cell r="AL405"/>
        </row>
        <row r="406">
          <cell r="R406"/>
          <cell r="T406">
            <v>19.39</v>
          </cell>
          <cell r="V406">
            <v>12.3</v>
          </cell>
          <cell r="X406">
            <v>-1.8000000000000003</v>
          </cell>
          <cell r="Z406">
            <v>-1.7500000000000002</v>
          </cell>
          <cell r="AB406"/>
          <cell r="AF406"/>
          <cell r="AH406"/>
          <cell r="AL406"/>
        </row>
        <row r="407">
          <cell r="R407"/>
          <cell r="T407">
            <v>25.38</v>
          </cell>
          <cell r="V407">
            <v>12.3</v>
          </cell>
          <cell r="X407">
            <v>-1.8000000000000003</v>
          </cell>
          <cell r="Z407">
            <v>-1.7500000000000002</v>
          </cell>
          <cell r="AB407"/>
          <cell r="AF407"/>
          <cell r="AH407"/>
          <cell r="AL407"/>
        </row>
        <row r="408">
          <cell r="R408"/>
          <cell r="T408">
            <v>39.83</v>
          </cell>
          <cell r="V408">
            <v>12.29</v>
          </cell>
          <cell r="X408">
            <v>-1.6</v>
          </cell>
          <cell r="Z408">
            <v>-1.7485129402804376</v>
          </cell>
          <cell r="AB408"/>
          <cell r="AF408"/>
          <cell r="AH408"/>
          <cell r="AL408"/>
        </row>
        <row r="409">
          <cell r="R409"/>
          <cell r="T409">
            <v>34.86</v>
          </cell>
          <cell r="V409">
            <v>12.29</v>
          </cell>
          <cell r="X409">
            <v>-1.7000000000000002</v>
          </cell>
          <cell r="Z409">
            <v>-1.7521481519932591</v>
          </cell>
          <cell r="AB409"/>
          <cell r="AF409"/>
          <cell r="AH409"/>
          <cell r="AL409"/>
        </row>
        <row r="410">
          <cell r="R410"/>
          <cell r="T410">
            <v>51.58</v>
          </cell>
          <cell r="V410">
            <v>12.28</v>
          </cell>
          <cell r="X410">
            <v>-1.8000000000000003</v>
          </cell>
          <cell r="Z410">
            <v>-1.7599879396984925</v>
          </cell>
          <cell r="AB410"/>
          <cell r="AF410"/>
          <cell r="AH410"/>
          <cell r="AL410"/>
        </row>
        <row r="411">
          <cell r="R411"/>
          <cell r="T411">
            <v>36.18</v>
          </cell>
          <cell r="V411">
            <v>12.29</v>
          </cell>
          <cell r="X411">
            <v>-1.6</v>
          </cell>
          <cell r="Z411">
            <v>-1.7490766767999961</v>
          </cell>
          <cell r="AB411"/>
          <cell r="AF411">
            <v>0</v>
          </cell>
          <cell r="AL411">
            <v>0</v>
          </cell>
        </row>
        <row r="412">
          <cell r="R412"/>
          <cell r="T412"/>
          <cell r="V412"/>
          <cell r="X412"/>
          <cell r="Z412"/>
          <cell r="AB412"/>
          <cell r="AF412"/>
        </row>
        <row r="413">
          <cell r="T413"/>
          <cell r="V413"/>
          <cell r="X413"/>
          <cell r="Z413"/>
          <cell r="AB413"/>
          <cell r="AF413"/>
        </row>
        <row r="414">
          <cell r="R414" t="str">
            <v>200-SC</v>
          </cell>
          <cell r="T414">
            <v>37.43</v>
          </cell>
          <cell r="V414">
            <v>12.29</v>
          </cell>
          <cell r="X414">
            <v>-1.5</v>
          </cell>
          <cell r="Z414">
            <v>-1.7000000000000002</v>
          </cell>
          <cell r="AB414">
            <v>0</v>
          </cell>
          <cell r="AF414">
            <v>0</v>
          </cell>
          <cell r="AH414">
            <v>0</v>
          </cell>
          <cell r="AL414">
            <v>0</v>
          </cell>
        </row>
        <row r="415">
          <cell r="R415" t="str">
            <v>200-SC</v>
          </cell>
          <cell r="T415">
            <v>19.39</v>
          </cell>
          <cell r="V415">
            <v>12.3</v>
          </cell>
          <cell r="X415">
            <v>-1.7000000000000002</v>
          </cell>
          <cell r="Z415">
            <v>-1.7000000000000002</v>
          </cell>
          <cell r="AB415">
            <v>0</v>
          </cell>
          <cell r="AF415">
            <v>0</v>
          </cell>
          <cell r="AH415">
            <v>0</v>
          </cell>
          <cell r="AL415">
            <v>0</v>
          </cell>
        </row>
        <row r="416">
          <cell r="R416" t="str">
            <v>200-SC</v>
          </cell>
          <cell r="T416">
            <v>25.38</v>
          </cell>
          <cell r="V416">
            <v>12.3</v>
          </cell>
          <cell r="X416">
            <v>-1.7000000000000002</v>
          </cell>
          <cell r="Z416">
            <v>-1.7000000000000002</v>
          </cell>
          <cell r="AB416">
            <v>0</v>
          </cell>
          <cell r="AF416">
            <v>0</v>
          </cell>
          <cell r="AH416">
            <v>0</v>
          </cell>
          <cell r="AL416">
            <v>0</v>
          </cell>
        </row>
        <row r="417">
          <cell r="R417" t="str">
            <v>200-SC</v>
          </cell>
          <cell r="T417">
            <v>40.65</v>
          </cell>
          <cell r="V417">
            <v>12.29</v>
          </cell>
          <cell r="X417">
            <v>-1.6</v>
          </cell>
          <cell r="Z417">
            <v>-1.7000000000000002</v>
          </cell>
          <cell r="AB417">
            <v>0</v>
          </cell>
          <cell r="AF417">
            <v>0</v>
          </cell>
          <cell r="AH417">
            <v>0</v>
          </cell>
          <cell r="AL417">
            <v>0</v>
          </cell>
        </row>
        <row r="418">
          <cell r="R418" t="str">
            <v>200-SC</v>
          </cell>
          <cell r="T418">
            <v>35.64</v>
          </cell>
          <cell r="V418">
            <v>12.29</v>
          </cell>
          <cell r="X418">
            <v>-1.7000000000000002</v>
          </cell>
          <cell r="Z418">
            <v>-1.7000000000000002</v>
          </cell>
          <cell r="AB418">
            <v>0</v>
          </cell>
          <cell r="AF418">
            <v>0</v>
          </cell>
          <cell r="AH418">
            <v>0</v>
          </cell>
          <cell r="AL418">
            <v>0</v>
          </cell>
        </row>
        <row r="419">
          <cell r="R419" t="str">
            <v>200-SC</v>
          </cell>
          <cell r="T419">
            <v>52.1</v>
          </cell>
          <cell r="V419">
            <v>12.28</v>
          </cell>
          <cell r="X419">
            <v>-1.7000000000000002</v>
          </cell>
          <cell r="Z419">
            <v>-1.7000000000000002</v>
          </cell>
          <cell r="AB419">
            <v>0</v>
          </cell>
          <cell r="AF419">
            <v>0</v>
          </cell>
          <cell r="AH419">
            <v>0</v>
          </cell>
          <cell r="AL419">
            <v>0</v>
          </cell>
        </row>
        <row r="420">
          <cell r="R420"/>
          <cell r="T420">
            <v>36.880000000000003</v>
          </cell>
          <cell r="V420">
            <v>12.29</v>
          </cell>
          <cell r="X420">
            <v>-1.6</v>
          </cell>
          <cell r="Z420">
            <v>-1.6999999999999997</v>
          </cell>
          <cell r="AB420"/>
          <cell r="AF420">
            <v>0</v>
          </cell>
          <cell r="AL420">
            <v>0</v>
          </cell>
        </row>
        <row r="421">
          <cell r="R421"/>
          <cell r="T421"/>
          <cell r="V421"/>
          <cell r="X421"/>
          <cell r="Z421"/>
          <cell r="AB421"/>
          <cell r="AF421"/>
        </row>
        <row r="422">
          <cell r="T422"/>
          <cell r="V422"/>
          <cell r="X422"/>
          <cell r="Z422"/>
          <cell r="AB422"/>
          <cell r="AF422"/>
        </row>
        <row r="423">
          <cell r="R423" t="str">
            <v>200-SC</v>
          </cell>
          <cell r="T423">
            <v>37.43</v>
          </cell>
          <cell r="V423">
            <v>12.29</v>
          </cell>
          <cell r="X423">
            <v>-1.6</v>
          </cell>
          <cell r="Z423">
            <v>-1.7999999999999998</v>
          </cell>
          <cell r="AB423">
            <v>0</v>
          </cell>
          <cell r="AF423">
            <v>0</v>
          </cell>
          <cell r="AH423">
            <v>0</v>
          </cell>
          <cell r="AL423">
            <v>0</v>
          </cell>
        </row>
        <row r="424">
          <cell r="R424" t="str">
            <v>200-SC</v>
          </cell>
          <cell r="T424">
            <v>19.39</v>
          </cell>
          <cell r="V424">
            <v>12.3</v>
          </cell>
          <cell r="X424">
            <v>-1.8000000000000003</v>
          </cell>
          <cell r="Z424">
            <v>-1.7999999999999998</v>
          </cell>
          <cell r="AB424">
            <v>0</v>
          </cell>
          <cell r="AF424">
            <v>0</v>
          </cell>
          <cell r="AH424">
            <v>0</v>
          </cell>
          <cell r="AL424">
            <v>0</v>
          </cell>
        </row>
        <row r="425">
          <cell r="R425" t="str">
            <v>200-SC</v>
          </cell>
          <cell r="T425">
            <v>25.38</v>
          </cell>
          <cell r="V425">
            <v>12.3</v>
          </cell>
          <cell r="X425">
            <v>-1.8000000000000003</v>
          </cell>
          <cell r="Z425">
            <v>-1.7999999999999998</v>
          </cell>
          <cell r="AB425">
            <v>0</v>
          </cell>
          <cell r="AF425">
            <v>0</v>
          </cell>
          <cell r="AH425">
            <v>0</v>
          </cell>
          <cell r="AL425">
            <v>0</v>
          </cell>
        </row>
        <row r="426">
          <cell r="R426" t="str">
            <v>200-SC</v>
          </cell>
          <cell r="T426">
            <v>38.99</v>
          </cell>
          <cell r="V426">
            <v>12.29</v>
          </cell>
          <cell r="X426">
            <v>-1.6</v>
          </cell>
          <cell r="Z426">
            <v>-1.7999999999999998</v>
          </cell>
          <cell r="AB426">
            <v>0</v>
          </cell>
          <cell r="AF426">
            <v>0</v>
          </cell>
          <cell r="AH426">
            <v>0</v>
          </cell>
          <cell r="AL426">
            <v>0</v>
          </cell>
        </row>
        <row r="427">
          <cell r="R427" t="str">
            <v>200-SC</v>
          </cell>
          <cell r="T427">
            <v>34.18</v>
          </cell>
          <cell r="V427">
            <v>12.29</v>
          </cell>
          <cell r="X427">
            <v>-1.8000000000000003</v>
          </cell>
          <cell r="Z427">
            <v>-1.7999999999999998</v>
          </cell>
          <cell r="AB427">
            <v>0</v>
          </cell>
          <cell r="AF427">
            <v>0</v>
          </cell>
          <cell r="AH427">
            <v>0</v>
          </cell>
          <cell r="AL427">
            <v>0</v>
          </cell>
        </row>
        <row r="428">
          <cell r="R428" t="str">
            <v>200-SC</v>
          </cell>
          <cell r="T428">
            <v>51.24</v>
          </cell>
          <cell r="V428">
            <v>12.28</v>
          </cell>
          <cell r="X428">
            <v>-1.8000000000000003</v>
          </cell>
          <cell r="Z428">
            <v>-1.7999999999999998</v>
          </cell>
          <cell r="AB428">
            <v>0</v>
          </cell>
          <cell r="AF428">
            <v>0</v>
          </cell>
          <cell r="AH428">
            <v>0</v>
          </cell>
          <cell r="AL428">
            <v>0</v>
          </cell>
        </row>
        <row r="429">
          <cell r="R429"/>
          <cell r="T429">
            <v>35.47</v>
          </cell>
          <cell r="V429">
            <v>12.29</v>
          </cell>
          <cell r="X429">
            <v>-1.6</v>
          </cell>
          <cell r="Z429">
            <v>-1.7999999999999998</v>
          </cell>
          <cell r="AB429"/>
          <cell r="AF429">
            <v>0</v>
          </cell>
          <cell r="AL429">
            <v>0</v>
          </cell>
        </row>
        <row r="430">
          <cell r="R430"/>
          <cell r="T430"/>
          <cell r="V430"/>
          <cell r="X430"/>
          <cell r="Z430"/>
          <cell r="AB430"/>
          <cell r="AF430"/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Pro Forma"/>
      <sheetName val="2. Adjustment Detail"/>
      <sheetName val="3. Plant Calculation"/>
      <sheetName val="4. Decision 66028"/>
      <sheetName val="5. Depreciation Rate Support"/>
    </sheetNames>
    <sheetDataSet>
      <sheetData sheetId="0"/>
      <sheetData sheetId="1">
        <row r="9">
          <cell r="G9">
            <v>4398</v>
          </cell>
        </row>
        <row r="10">
          <cell r="G10">
            <v>927</v>
          </cell>
        </row>
        <row r="11">
          <cell r="G11">
            <v>951045</v>
          </cell>
        </row>
        <row r="12">
          <cell r="G12">
            <v>148343</v>
          </cell>
        </row>
        <row r="13">
          <cell r="G13">
            <v>0</v>
          </cell>
        </row>
        <row r="17">
          <cell r="G17">
            <v>19413</v>
          </cell>
        </row>
        <row r="18">
          <cell r="G18">
            <v>6994</v>
          </cell>
        </row>
        <row r="19">
          <cell r="G19">
            <v>11122406</v>
          </cell>
        </row>
        <row r="20">
          <cell r="G20">
            <v>234187</v>
          </cell>
        </row>
        <row r="21">
          <cell r="G21">
            <v>252568</v>
          </cell>
        </row>
        <row r="22">
          <cell r="G22">
            <v>100809</v>
          </cell>
        </row>
        <row r="31">
          <cell r="G31">
            <v>5039</v>
          </cell>
        </row>
        <row r="32">
          <cell r="G32">
            <v>721</v>
          </cell>
        </row>
        <row r="33">
          <cell r="G33">
            <v>902582</v>
          </cell>
        </row>
        <row r="34">
          <cell r="G34">
            <v>155660</v>
          </cell>
        </row>
        <row r="35">
          <cell r="G35">
            <v>0</v>
          </cell>
        </row>
        <row r="39">
          <cell r="G39">
            <v>-3957</v>
          </cell>
        </row>
        <row r="40">
          <cell r="G40">
            <v>1718</v>
          </cell>
        </row>
        <row r="41">
          <cell r="G41">
            <v>9309585</v>
          </cell>
        </row>
        <row r="42">
          <cell r="G42">
            <v>192550</v>
          </cell>
        </row>
        <row r="43">
          <cell r="G43">
            <v>159807</v>
          </cell>
        </row>
        <row r="44">
          <cell r="G44">
            <v>126375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 Forma Balance Sheet"/>
      <sheetName val="Pro Forma Balance Sheet - Rev"/>
      <sheetName val="Pro Forma Balance Sheet - Ref"/>
      <sheetName val="1.1 Summary Pivot Table by FERC"/>
      <sheetName val="2. UNS 106 Proforma Adj Query"/>
      <sheetName val="Projects FERCs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Project Number</v>
          </cell>
          <cell r="B8" t="str">
            <v>Project Name</v>
          </cell>
        </row>
        <row r="9">
          <cell r="A9" t="str">
            <v>300160A</v>
          </cell>
          <cell r="B9" t="str">
            <v>UNSE Gila River Power Station</v>
          </cell>
        </row>
        <row r="10">
          <cell r="A10" t="str">
            <v>300167A</v>
          </cell>
          <cell r="B10" t="str">
            <v>UNSE Gila River Vehicle Salv</v>
          </cell>
        </row>
        <row r="11">
          <cell r="A11" t="str">
            <v>301061A</v>
          </cell>
          <cell r="B11" t="str">
            <v>Line Ext &lt;$10,000 (King)</v>
          </cell>
        </row>
        <row r="12">
          <cell r="A12" t="str">
            <v>301061B</v>
          </cell>
          <cell r="B12" t="str">
            <v>Line Repl &lt; $10,000 (King)</v>
          </cell>
        </row>
        <row r="13">
          <cell r="A13" t="str">
            <v>301062A</v>
          </cell>
          <cell r="B13" t="str">
            <v>Line Ext &lt; $10,000 (LH)</v>
          </cell>
        </row>
        <row r="14">
          <cell r="A14" t="str">
            <v>301062B</v>
          </cell>
          <cell r="B14" t="str">
            <v>Line Repl &lt; $10,000 (LH)</v>
          </cell>
        </row>
        <row r="15">
          <cell r="A15" t="str">
            <v>301064A</v>
          </cell>
          <cell r="B15" t="str">
            <v>Line Ext &lt; $10,000(Nog)</v>
          </cell>
        </row>
        <row r="16">
          <cell r="A16" t="str">
            <v>301064B</v>
          </cell>
          <cell r="B16" t="str">
            <v>Line Repl &lt; $10,000 (Nog)</v>
          </cell>
        </row>
        <row r="17">
          <cell r="A17" t="str">
            <v>301065A</v>
          </cell>
          <cell r="B17" t="str">
            <v>Val U4 PRISMIC A3100 AVR Repl</v>
          </cell>
        </row>
        <row r="18">
          <cell r="A18" t="str">
            <v>302061A</v>
          </cell>
          <cell r="B18" t="str">
            <v>Line Ext &gt;$10,000 (King)</v>
          </cell>
        </row>
        <row r="19">
          <cell r="A19" t="str">
            <v>302061B</v>
          </cell>
          <cell r="B19" t="str">
            <v>Line Repl &gt; $10,000 (King)</v>
          </cell>
        </row>
        <row r="20">
          <cell r="A20" t="str">
            <v>302062A</v>
          </cell>
          <cell r="B20" t="str">
            <v>Line Ext &gt; $10,000 (LH)</v>
          </cell>
        </row>
        <row r="21">
          <cell r="A21" t="str">
            <v>302062B</v>
          </cell>
          <cell r="B21" t="str">
            <v>Line Repl &gt; $10,000 (LH)</v>
          </cell>
        </row>
        <row r="22">
          <cell r="A22" t="str">
            <v>302064A</v>
          </cell>
          <cell r="B22" t="str">
            <v>Line Ext &gt; $10,000(Nog)</v>
          </cell>
        </row>
        <row r="23">
          <cell r="A23" t="str">
            <v>303061A</v>
          </cell>
          <cell r="B23" t="str">
            <v>Resid New Bus Svcs (KG)</v>
          </cell>
        </row>
        <row r="24">
          <cell r="A24" t="str">
            <v>303061B</v>
          </cell>
          <cell r="B24" t="str">
            <v>Comm New Bus Svcs (KG)</v>
          </cell>
        </row>
        <row r="25">
          <cell r="A25" t="str">
            <v>303062A</v>
          </cell>
          <cell r="B25" t="str">
            <v>Resid New Bus Svcs (LH)</v>
          </cell>
        </row>
        <row r="26">
          <cell r="A26" t="str">
            <v>303062B</v>
          </cell>
          <cell r="B26" t="str">
            <v>Comm New Bus Svcs (LH)</v>
          </cell>
        </row>
        <row r="27">
          <cell r="A27" t="str">
            <v>303064A</v>
          </cell>
          <cell r="B27" t="str">
            <v>New Services (Nog)</v>
          </cell>
        </row>
        <row r="28">
          <cell r="A28" t="str">
            <v>303064B</v>
          </cell>
          <cell r="B28" t="str">
            <v>Replace Services (Nog)</v>
          </cell>
        </row>
        <row r="29">
          <cell r="A29" t="str">
            <v>304061A</v>
          </cell>
          <cell r="B29" t="str">
            <v>New Meters (King)</v>
          </cell>
        </row>
        <row r="30">
          <cell r="A30" t="str">
            <v>304061B</v>
          </cell>
          <cell r="B30" t="str">
            <v>Meters &amp; Metering Eq (KG)</v>
          </cell>
        </row>
        <row r="31">
          <cell r="A31" t="str">
            <v>304062A</v>
          </cell>
          <cell r="B31" t="str">
            <v>New Meters (LH)</v>
          </cell>
        </row>
        <row r="32">
          <cell r="A32" t="str">
            <v>304062B</v>
          </cell>
          <cell r="B32" t="str">
            <v>Meters &amp; Metering Eq (LH)</v>
          </cell>
        </row>
        <row r="33">
          <cell r="A33" t="str">
            <v>304064A</v>
          </cell>
          <cell r="B33" t="str">
            <v>New Meters (Nog)</v>
          </cell>
        </row>
        <row r="34">
          <cell r="A34" t="str">
            <v>304064B</v>
          </cell>
          <cell r="B34" t="str">
            <v>Meters &amp; Metering Eq (Nog)</v>
          </cell>
        </row>
        <row r="35">
          <cell r="A35" t="str">
            <v>304161B</v>
          </cell>
          <cell r="B35" t="str">
            <v>AMI Infrastructure Install</v>
          </cell>
        </row>
        <row r="36">
          <cell r="A36" t="str">
            <v>305061A</v>
          </cell>
          <cell r="B36" t="str">
            <v>Scrap Revenue (KG)</v>
          </cell>
        </row>
        <row r="37">
          <cell r="A37" t="str">
            <v>305061B</v>
          </cell>
          <cell r="B37" t="str">
            <v>Transformers (KG)</v>
          </cell>
        </row>
        <row r="38">
          <cell r="A38" t="str">
            <v>305062A</v>
          </cell>
          <cell r="B38" t="str">
            <v>Scrap Revenue (LH)</v>
          </cell>
        </row>
        <row r="39">
          <cell r="A39" t="str">
            <v>305062B</v>
          </cell>
          <cell r="B39" t="str">
            <v>Transformers (LH)</v>
          </cell>
        </row>
        <row r="40">
          <cell r="A40" t="str">
            <v>305064A</v>
          </cell>
          <cell r="B40" t="str">
            <v>Scrap Revenue (Nog)</v>
          </cell>
        </row>
        <row r="41">
          <cell r="A41" t="str">
            <v>305064B</v>
          </cell>
          <cell r="B41" t="str">
            <v>Transformers (Nog)</v>
          </cell>
        </row>
        <row r="42">
          <cell r="A42" t="str">
            <v>306061A</v>
          </cell>
          <cell r="B42" t="str">
            <v>Comm Str &amp; Area Lights (KG)</v>
          </cell>
        </row>
        <row r="43">
          <cell r="A43" t="str">
            <v>306061B</v>
          </cell>
          <cell r="B43" t="str">
            <v>Resid Str &amp; Area Lights (KG)</v>
          </cell>
        </row>
        <row r="44">
          <cell r="A44" t="str">
            <v>306062A</v>
          </cell>
          <cell r="B44" t="str">
            <v>Comm Str &amp; Area Lights (LH)</v>
          </cell>
        </row>
        <row r="45">
          <cell r="A45" t="str">
            <v>306062B</v>
          </cell>
          <cell r="B45" t="str">
            <v>Resid Str &amp; Area Lights (LH)</v>
          </cell>
        </row>
        <row r="46">
          <cell r="A46" t="str">
            <v>306064A</v>
          </cell>
          <cell r="B46" t="str">
            <v>New St &amp; Area Lights (Nog)</v>
          </cell>
        </row>
        <row r="47">
          <cell r="A47" t="str">
            <v>306064B</v>
          </cell>
          <cell r="B47" t="str">
            <v>Repl St &amp; Area Lights(Nog)</v>
          </cell>
        </row>
        <row r="48">
          <cell r="A48" t="str">
            <v>307061A</v>
          </cell>
          <cell r="B48" t="str">
            <v>Capacitors &amp; Equip (KG)</v>
          </cell>
        </row>
        <row r="49">
          <cell r="A49" t="str">
            <v>307061B</v>
          </cell>
          <cell r="B49" t="str">
            <v>Repl Capacitors &amp; Eq(King)</v>
          </cell>
        </row>
        <row r="50">
          <cell r="A50" t="str">
            <v>307062A</v>
          </cell>
          <cell r="B50" t="str">
            <v>Capacitors &amp; Equip (LH)</v>
          </cell>
        </row>
        <row r="51">
          <cell r="A51" t="str">
            <v>307062B</v>
          </cell>
          <cell r="B51" t="str">
            <v>Repl Capacitors &amp; Eq (LH)</v>
          </cell>
        </row>
        <row r="52">
          <cell r="A52" t="str">
            <v>307064A</v>
          </cell>
          <cell r="B52" t="str">
            <v>Capacitors &amp; Eq (Nog)</v>
          </cell>
        </row>
        <row r="53">
          <cell r="A53" t="str">
            <v>308061A</v>
          </cell>
          <cell r="B53" t="str">
            <v>Plant General (KG)</v>
          </cell>
        </row>
        <row r="54">
          <cell r="A54" t="str">
            <v>308061B</v>
          </cell>
          <cell r="B54" t="str">
            <v>Plant Replacements(King)</v>
          </cell>
        </row>
        <row r="55">
          <cell r="A55" t="str">
            <v>308062A</v>
          </cell>
          <cell r="B55" t="str">
            <v>Plant General (LH)</v>
          </cell>
        </row>
        <row r="56">
          <cell r="A56" t="str">
            <v>308062B</v>
          </cell>
          <cell r="B56" t="str">
            <v>Plant Replacements(LH)</v>
          </cell>
        </row>
        <row r="57">
          <cell r="A57" t="str">
            <v>308064A</v>
          </cell>
          <cell r="B57" t="str">
            <v>Plant (Power Prod Nog)</v>
          </cell>
        </row>
        <row r="58">
          <cell r="A58" t="str">
            <v>308064B</v>
          </cell>
          <cell r="B58" t="str">
            <v>Plant Replacements (Nog)</v>
          </cell>
        </row>
        <row r="59">
          <cell r="A59" t="str">
            <v>308164A</v>
          </cell>
          <cell r="B59" t="str">
            <v>Vltge Reg &amp; Load Shr U123</v>
          </cell>
        </row>
        <row r="60">
          <cell r="A60" t="str">
            <v>308164B</v>
          </cell>
          <cell r="B60" t="str">
            <v>U1 Switchgear Repl</v>
          </cell>
        </row>
        <row r="61">
          <cell r="A61" t="str">
            <v>308264B</v>
          </cell>
          <cell r="B61" t="str">
            <v>U2 Switchgear Repl</v>
          </cell>
        </row>
        <row r="62">
          <cell r="A62" t="str">
            <v>308364B</v>
          </cell>
          <cell r="B62" t="str">
            <v>U3 Switchgear Repl</v>
          </cell>
        </row>
        <row r="63">
          <cell r="A63" t="str">
            <v>308464B</v>
          </cell>
          <cell r="B63" t="str">
            <v>Fuel Nozzle Repl U4</v>
          </cell>
        </row>
        <row r="64">
          <cell r="A64" t="str">
            <v>308564B</v>
          </cell>
          <cell r="B64" t="str">
            <v>U4 Inlet Media Repl</v>
          </cell>
        </row>
        <row r="65">
          <cell r="A65" t="str">
            <v>308664B</v>
          </cell>
          <cell r="B65" t="str">
            <v>Plant Security</v>
          </cell>
        </row>
        <row r="66">
          <cell r="A66" t="str">
            <v>309060A</v>
          </cell>
          <cell r="B66" t="str">
            <v>Lab and Test Equip Gen</v>
          </cell>
        </row>
        <row r="67">
          <cell r="A67" t="str">
            <v>309061A</v>
          </cell>
          <cell r="B67" t="str">
            <v>Tools-Operation (KG)</v>
          </cell>
        </row>
        <row r="68">
          <cell r="A68" t="str">
            <v>309061B</v>
          </cell>
          <cell r="B68" t="str">
            <v>Tool,Shop,Gar Eq-Repl(King)</v>
          </cell>
        </row>
        <row r="69">
          <cell r="A69" t="str">
            <v>309062A</v>
          </cell>
          <cell r="B69" t="str">
            <v>Tools-Operation (LH)</v>
          </cell>
        </row>
        <row r="70">
          <cell r="A70" t="str">
            <v>309062B</v>
          </cell>
          <cell r="B70" t="str">
            <v>Tool,Shop,Gar Eq-Repl. (LH)</v>
          </cell>
        </row>
        <row r="71">
          <cell r="A71" t="str">
            <v>309064A</v>
          </cell>
          <cell r="B71" t="str">
            <v>Tools-Operation (Nog)</v>
          </cell>
        </row>
        <row r="72">
          <cell r="A72" t="str">
            <v>310061A</v>
          </cell>
          <cell r="B72" t="str">
            <v>Office Furn &amp; Equip (KG)</v>
          </cell>
        </row>
        <row r="73">
          <cell r="A73" t="str">
            <v>310061B</v>
          </cell>
          <cell r="B73" t="str">
            <v>Off Furn &amp; Equip-Repl(King)</v>
          </cell>
        </row>
        <row r="74">
          <cell r="A74" t="str">
            <v>310062A</v>
          </cell>
          <cell r="B74" t="str">
            <v>Office Furn &amp; Equip (LH)</v>
          </cell>
        </row>
        <row r="75">
          <cell r="A75" t="str">
            <v>310062B</v>
          </cell>
          <cell r="B75" t="str">
            <v>Off Furn &amp; Equip-Repl. (LH)</v>
          </cell>
        </row>
        <row r="76">
          <cell r="A76" t="str">
            <v>310064A</v>
          </cell>
          <cell r="B76" t="str">
            <v>Office Furn &amp; Equip (Nog)</v>
          </cell>
        </row>
        <row r="77">
          <cell r="A77" t="str">
            <v>310064B</v>
          </cell>
          <cell r="B77" t="str">
            <v>Off Furn &amp; Equip- Repl(Nog)</v>
          </cell>
        </row>
        <row r="78">
          <cell r="A78" t="str">
            <v>310064S</v>
          </cell>
          <cell r="B78" t="str">
            <v>Comm Str &amp; Area Lights (Nog)</v>
          </cell>
        </row>
        <row r="79">
          <cell r="A79" t="str">
            <v>310161S</v>
          </cell>
          <cell r="B79" t="str">
            <v>Hwy Sub 20.8kV Conversn Kg</v>
          </cell>
        </row>
        <row r="80">
          <cell r="A80" t="str">
            <v>310162B</v>
          </cell>
          <cell r="B80" t="str">
            <v>69KV Transmission Sys Rpl (LH)</v>
          </cell>
        </row>
        <row r="81">
          <cell r="A81" t="str">
            <v>310164S</v>
          </cell>
          <cell r="B81" t="str">
            <v>Resid Str &amp; Area Lights (Nog)</v>
          </cell>
        </row>
        <row r="82">
          <cell r="A82" t="str">
            <v>310261S</v>
          </cell>
          <cell r="B82" t="str">
            <v>W Hills 20.8kV Recon &amp; Conv Kg</v>
          </cell>
        </row>
        <row r="83">
          <cell r="A83" t="str">
            <v>310262S</v>
          </cell>
          <cell r="B83" t="str">
            <v>Black Mesa T3 Repl</v>
          </cell>
        </row>
        <row r="84">
          <cell r="A84" t="str">
            <v>310362S</v>
          </cell>
          <cell r="B84" t="str">
            <v>Recon Franc-Yucca 20.8kVLn LHC</v>
          </cell>
        </row>
        <row r="85">
          <cell r="A85" t="str">
            <v>310461S</v>
          </cell>
          <cell r="B85" t="str">
            <v>Industrial Park 69kV Tie Kg</v>
          </cell>
        </row>
        <row r="86">
          <cell r="A86" t="str">
            <v>310462S</v>
          </cell>
          <cell r="B86" t="str">
            <v>Yucca 69-20.8kV T1 Upgrade</v>
          </cell>
        </row>
        <row r="87">
          <cell r="A87" t="str">
            <v>310564S</v>
          </cell>
          <cell r="B87" t="str">
            <v>Tubac 138kV Sub Nog</v>
          </cell>
        </row>
        <row r="88">
          <cell r="A88" t="str">
            <v>310661B</v>
          </cell>
          <cell r="B88" t="str">
            <v>Replace 69kV Breakers (King)</v>
          </cell>
        </row>
        <row r="89">
          <cell r="A89" t="str">
            <v>310662S</v>
          </cell>
          <cell r="B89" t="str">
            <v>LH,NH,Hilltop OC3 Fiber Muxes</v>
          </cell>
        </row>
        <row r="90">
          <cell r="A90" t="str">
            <v>310761S</v>
          </cell>
          <cell r="B90" t="str">
            <v>Fairfax to Sycmre Recon Kg</v>
          </cell>
        </row>
        <row r="91">
          <cell r="A91" t="str">
            <v>310861S</v>
          </cell>
          <cell r="B91" t="str">
            <v>Riata Valley Rd Recon Kg</v>
          </cell>
        </row>
        <row r="92">
          <cell r="A92" t="str">
            <v>310961S</v>
          </cell>
          <cell r="B92" t="str">
            <v>Coyote Pass Breaker Repl</v>
          </cell>
        </row>
        <row r="93">
          <cell r="A93" t="str">
            <v>311060A</v>
          </cell>
          <cell r="B93" t="str">
            <v>UNSE Non-Roll Up</v>
          </cell>
        </row>
        <row r="94">
          <cell r="A94" t="str">
            <v>311061A</v>
          </cell>
          <cell r="B94" t="str">
            <v>Comp Equip - UNSE</v>
          </cell>
        </row>
        <row r="95">
          <cell r="A95" t="str">
            <v>311061B</v>
          </cell>
          <cell r="B95" t="str">
            <v>Comp Equip-Repl. (King)</v>
          </cell>
        </row>
        <row r="96">
          <cell r="A96" t="str">
            <v>311062A</v>
          </cell>
          <cell r="B96" t="str">
            <v>Comp Equip-New (LH)</v>
          </cell>
        </row>
        <row r="97">
          <cell r="A97" t="str">
            <v>311062B</v>
          </cell>
          <cell r="B97" t="str">
            <v>Comp Equip-Repl. (LH)</v>
          </cell>
        </row>
        <row r="98">
          <cell r="A98" t="str">
            <v>311062S</v>
          </cell>
          <cell r="B98" t="str">
            <v>OTIS Integration LH</v>
          </cell>
        </row>
        <row r="99">
          <cell r="A99" t="str">
            <v>311064A</v>
          </cell>
          <cell r="B99" t="str">
            <v>Comp Equip-New (Nog)</v>
          </cell>
        </row>
        <row r="100">
          <cell r="A100" t="str">
            <v>311071A</v>
          </cell>
          <cell r="B100" t="str">
            <v>Upgrade MVRS Handhelds - UNSE</v>
          </cell>
        </row>
        <row r="101">
          <cell r="A101" t="str">
            <v>311160A</v>
          </cell>
          <cell r="B101" t="str">
            <v>UNSE Non-AFUDC</v>
          </cell>
        </row>
        <row r="102">
          <cell r="A102" t="str">
            <v>311161S</v>
          </cell>
          <cell r="B102" t="str">
            <v>Pst Offc thru Hall St Recon Kg</v>
          </cell>
        </row>
        <row r="103">
          <cell r="A103" t="str">
            <v>311162S</v>
          </cell>
          <cell r="B103" t="str">
            <v>Black Mesa Brkr &amp; Relay Replc</v>
          </cell>
        </row>
        <row r="104">
          <cell r="A104" t="str">
            <v>311164S</v>
          </cell>
          <cell r="B104" t="str">
            <v>Valencia T2 Replacement Nog</v>
          </cell>
        </row>
        <row r="105">
          <cell r="A105" t="str">
            <v>311261S</v>
          </cell>
          <cell r="B105" t="str">
            <v>Jagerson Tie 4th CRCT FDR 5031</v>
          </cell>
        </row>
        <row r="106">
          <cell r="A106" t="str">
            <v>311361S</v>
          </cell>
          <cell r="B106" t="str">
            <v>Hwy Sub to Hwy Xing Recond KG</v>
          </cell>
        </row>
        <row r="107">
          <cell r="A107" t="str">
            <v>311364S</v>
          </cell>
          <cell r="B107" t="str">
            <v>Nog Tap - Val 115-138kV Rbld</v>
          </cell>
        </row>
        <row r="108">
          <cell r="A108" t="str">
            <v>311464A</v>
          </cell>
          <cell r="B108" t="str">
            <v>Rosemont Mine 138kV Line Tap</v>
          </cell>
        </row>
        <row r="109">
          <cell r="A109" t="str">
            <v>311561S</v>
          </cell>
          <cell r="B109" t="str">
            <v>Golden Valley 230 kV Line King</v>
          </cell>
        </row>
        <row r="110">
          <cell r="A110" t="str">
            <v>311564S</v>
          </cell>
          <cell r="B110" t="str">
            <v>SR82 Patagonia Lake Line</v>
          </cell>
        </row>
        <row r="111">
          <cell r="A111" t="str">
            <v>311761S</v>
          </cell>
          <cell r="B111" t="str">
            <v>Mercator 69kV Line (King)</v>
          </cell>
        </row>
        <row r="112">
          <cell r="A112" t="str">
            <v>311861S</v>
          </cell>
          <cell r="B112" t="str">
            <v>UNSE Integr Balancing Auth(Kg)</v>
          </cell>
        </row>
        <row r="113">
          <cell r="A113" t="str">
            <v>311864S</v>
          </cell>
          <cell r="B113" t="str">
            <v>UG Replacement Meadow Hills</v>
          </cell>
        </row>
        <row r="114">
          <cell r="A114" t="str">
            <v>311964S</v>
          </cell>
          <cell r="B114" t="str">
            <v>UG Replacement Monte Carlo</v>
          </cell>
        </row>
        <row r="115">
          <cell r="A115" t="str">
            <v>312000A</v>
          </cell>
          <cell r="B115" t="str">
            <v>UNSE Transportation Equip</v>
          </cell>
        </row>
        <row r="116">
          <cell r="A116" t="str">
            <v>312061A</v>
          </cell>
          <cell r="B116" t="str">
            <v>Construction Eq - New (King)</v>
          </cell>
        </row>
        <row r="117">
          <cell r="A117" t="str">
            <v>312062A</v>
          </cell>
          <cell r="B117" t="str">
            <v>Constr Eq - New (LH)</v>
          </cell>
        </row>
        <row r="118">
          <cell r="A118" t="str">
            <v>312062S</v>
          </cell>
          <cell r="B118" t="str">
            <v>Operations Center LH</v>
          </cell>
        </row>
        <row r="119">
          <cell r="A119" t="str">
            <v>312064B</v>
          </cell>
          <cell r="B119" t="str">
            <v>Distribution Capacitors (Nog)</v>
          </cell>
        </row>
        <row r="120">
          <cell r="A120" t="str">
            <v>312100A</v>
          </cell>
          <cell r="B120" t="str">
            <v>UNSE Power Op Equip</v>
          </cell>
        </row>
        <row r="121">
          <cell r="A121" t="str">
            <v>312161S</v>
          </cell>
          <cell r="B121" t="str">
            <v>Sunrise OH Line Relocate</v>
          </cell>
        </row>
        <row r="122">
          <cell r="A122" t="str">
            <v>312164A</v>
          </cell>
          <cell r="B122" t="str">
            <v>Building Acq for Ops (Nog)</v>
          </cell>
        </row>
        <row r="123">
          <cell r="A123" t="str">
            <v>312261A</v>
          </cell>
          <cell r="B123" t="str">
            <v>Plant General - Short Term KG</v>
          </cell>
        </row>
        <row r="124">
          <cell r="A124" t="str">
            <v>312261S</v>
          </cell>
          <cell r="B124" t="str">
            <v>Greenway Loop UG Recond (KG)</v>
          </cell>
        </row>
        <row r="125">
          <cell r="A125" t="str">
            <v>312262A</v>
          </cell>
          <cell r="B125" t="str">
            <v>Plant General - Short Term LH</v>
          </cell>
        </row>
        <row r="126">
          <cell r="A126" t="str">
            <v>312361A</v>
          </cell>
          <cell r="B126" t="str">
            <v>New Admin Building Kingman</v>
          </cell>
        </row>
        <row r="127">
          <cell r="A127" t="str">
            <v>312362A</v>
          </cell>
          <cell r="B127" t="str">
            <v>Land Purchase LH Admin Build</v>
          </cell>
        </row>
        <row r="128">
          <cell r="A128" t="str">
            <v>312364A</v>
          </cell>
          <cell r="B128" t="str">
            <v>Sonoita T1 138kV Bushing Replc</v>
          </cell>
        </row>
        <row r="129">
          <cell r="A129" t="str">
            <v>312461S</v>
          </cell>
          <cell r="B129" t="str">
            <v>East Mohave Fdr Upgrade</v>
          </cell>
        </row>
        <row r="130">
          <cell r="A130" t="str">
            <v>312464A</v>
          </cell>
          <cell r="B130" t="str">
            <v>Plant General - Short Term SC</v>
          </cell>
        </row>
        <row r="131">
          <cell r="A131" t="str">
            <v>312561S</v>
          </cell>
          <cell r="B131" t="str">
            <v>Griffith-Boriana 69kV Rebuild</v>
          </cell>
        </row>
        <row r="132">
          <cell r="A132" t="str">
            <v>312661B</v>
          </cell>
          <cell r="B132" t="str">
            <v>69KV Transmission Sys Rpl (Kg)</v>
          </cell>
        </row>
        <row r="133">
          <cell r="A133" t="str">
            <v>312761S</v>
          </cell>
          <cell r="B133" t="str">
            <v>Black Mesa T3 Replacement</v>
          </cell>
        </row>
        <row r="134">
          <cell r="A134" t="str">
            <v>312961S</v>
          </cell>
          <cell r="B134" t="str">
            <v>Fdr Tie &amp; Recon So Kgm</v>
          </cell>
        </row>
        <row r="135">
          <cell r="A135" t="str">
            <v>313000A</v>
          </cell>
          <cell r="B135" t="str">
            <v>UNSE Advances Convert to CIAC</v>
          </cell>
        </row>
        <row r="136">
          <cell r="A136" t="str">
            <v>313060A</v>
          </cell>
          <cell r="B136" t="str">
            <v>Advances Convert to CIAC</v>
          </cell>
        </row>
        <row r="137">
          <cell r="A137" t="str">
            <v>313061A</v>
          </cell>
          <cell r="B137" t="str">
            <v>Subst &amp; Meter Equip (KG)</v>
          </cell>
        </row>
        <row r="138">
          <cell r="A138" t="str">
            <v>313061B</v>
          </cell>
          <cell r="B138" t="str">
            <v>Repl Subst Eq, Minor (King)</v>
          </cell>
        </row>
        <row r="139">
          <cell r="A139" t="str">
            <v>313061S</v>
          </cell>
          <cell r="B139" t="str">
            <v>Golden Valley Fdr 8009 Rbld KG</v>
          </cell>
        </row>
        <row r="140">
          <cell r="A140" t="str">
            <v>313062A</v>
          </cell>
          <cell r="B140" t="str">
            <v>Subst &amp; Meter Equip (LH)</v>
          </cell>
        </row>
        <row r="141">
          <cell r="A141" t="str">
            <v>313062B</v>
          </cell>
          <cell r="B141" t="str">
            <v>Subst &amp; Meter Eq-Repl (LH)</v>
          </cell>
        </row>
        <row r="142">
          <cell r="A142" t="str">
            <v>313064A</v>
          </cell>
          <cell r="B142" t="str">
            <v>Subst &amp; Meter Equip (Nog)</v>
          </cell>
        </row>
        <row r="143">
          <cell r="A143" t="str">
            <v>313064B</v>
          </cell>
          <cell r="B143" t="str">
            <v>Subst &amp; Meter Eq-Repl(Nog)</v>
          </cell>
        </row>
        <row r="144">
          <cell r="A144" t="str">
            <v>313161S</v>
          </cell>
          <cell r="B144" t="str">
            <v>Canyon Shadows UG Cond Rpl KG</v>
          </cell>
        </row>
        <row r="145">
          <cell r="A145" t="str">
            <v>313261S</v>
          </cell>
          <cell r="B145" t="str">
            <v>Riata Valley Reconductor</v>
          </cell>
        </row>
        <row r="146">
          <cell r="A146" t="str">
            <v>313361S</v>
          </cell>
          <cell r="B146" t="str">
            <v>Recon Casson 5008-SierraVst/Be</v>
          </cell>
        </row>
        <row r="147">
          <cell r="A147" t="str">
            <v>313461S</v>
          </cell>
          <cell r="B147" t="str">
            <v>Downtown Kingman Rebuild KG</v>
          </cell>
        </row>
        <row r="148">
          <cell r="A148" t="str">
            <v>313561S</v>
          </cell>
          <cell r="B148" t="str">
            <v>Meadview 20.8kV Conversion KG</v>
          </cell>
        </row>
        <row r="149">
          <cell r="A149" t="str">
            <v>313761S</v>
          </cell>
          <cell r="B149" t="str">
            <v>Fdr Tie -N KG 5001 and 5003 KG</v>
          </cell>
        </row>
        <row r="150">
          <cell r="A150" t="str">
            <v>313762S</v>
          </cell>
          <cell r="B150" t="str">
            <v>Franconia–Yucca 20.8kv Ln</v>
          </cell>
        </row>
        <row r="151">
          <cell r="A151" t="str">
            <v>313862S</v>
          </cell>
          <cell r="B151" t="str">
            <v>Clearwater FDR Add (LH)</v>
          </cell>
        </row>
        <row r="152">
          <cell r="A152" t="str">
            <v>313962S</v>
          </cell>
          <cell r="B152" t="str">
            <v>FDR Tie 6002-6003 (LH)</v>
          </cell>
        </row>
        <row r="153">
          <cell r="A153" t="str">
            <v>314000A</v>
          </cell>
          <cell r="B153" t="str">
            <v>Network IT Equip - UNSE</v>
          </cell>
        </row>
        <row r="154">
          <cell r="A154" t="str">
            <v>314001A</v>
          </cell>
          <cell r="B154" t="str">
            <v>Systems IT Equip - UNSE</v>
          </cell>
        </row>
        <row r="155">
          <cell r="A155" t="str">
            <v>314061A</v>
          </cell>
          <cell r="B155" t="str">
            <v>Comm Eq - New (King)</v>
          </cell>
        </row>
        <row r="156">
          <cell r="A156" t="str">
            <v>314061B</v>
          </cell>
          <cell r="B156" t="str">
            <v>Comm Equip (KG)</v>
          </cell>
        </row>
        <row r="157">
          <cell r="A157" t="str">
            <v>314062A</v>
          </cell>
          <cell r="B157" t="str">
            <v>Comm Equip- New (LH)</v>
          </cell>
        </row>
        <row r="158">
          <cell r="A158" t="str">
            <v>314062B</v>
          </cell>
          <cell r="B158" t="str">
            <v>Comm Equip (LH)</v>
          </cell>
        </row>
        <row r="159">
          <cell r="A159" t="str">
            <v>314062S</v>
          </cell>
          <cell r="B159" t="str">
            <v>Recon Portion Circuit HV6021</v>
          </cell>
        </row>
        <row r="160">
          <cell r="A160" t="str">
            <v>314064A</v>
          </cell>
          <cell r="B160" t="str">
            <v>Comm Equip -New (Nog)</v>
          </cell>
        </row>
        <row r="161">
          <cell r="A161" t="str">
            <v>314064B</v>
          </cell>
          <cell r="B161" t="str">
            <v>Comm Equip (Nog)</v>
          </cell>
        </row>
        <row r="162">
          <cell r="A162" t="str">
            <v>314162A</v>
          </cell>
          <cell r="B162" t="str">
            <v>Oatman Radio Upgd (LH)</v>
          </cell>
        </row>
        <row r="163">
          <cell r="A163" t="str">
            <v>314162S</v>
          </cell>
          <cell r="B163" t="str">
            <v>Recon Portion PV6005 &amp; KW6016</v>
          </cell>
        </row>
        <row r="164">
          <cell r="A164" t="str">
            <v>314164S</v>
          </cell>
          <cell r="B164" t="str">
            <v>Santa Cruz Valley (SC)</v>
          </cell>
        </row>
        <row r="165">
          <cell r="A165" t="str">
            <v>314261S</v>
          </cell>
          <cell r="B165" t="str">
            <v>Add UFLS to KG and LH Feeders</v>
          </cell>
        </row>
        <row r="166">
          <cell r="A166" t="str">
            <v>314264B</v>
          </cell>
          <cell r="B166" t="str">
            <v>UES Santa Cruz MCW Upgrade</v>
          </cell>
        </row>
        <row r="167">
          <cell r="A167" t="str">
            <v>314361S</v>
          </cell>
          <cell r="B167" t="str">
            <v>Distr Sys Intgity &amp; Restor</v>
          </cell>
        </row>
        <row r="168">
          <cell r="A168" t="str">
            <v>314362S</v>
          </cell>
          <cell r="B168" t="str">
            <v>Distr Sys Int &amp; Restor</v>
          </cell>
        </row>
        <row r="169">
          <cell r="A169" t="str">
            <v>314461A</v>
          </cell>
          <cell r="B169" t="str">
            <v>Solon Sgle Axis Track Sys(Kg)</v>
          </cell>
        </row>
        <row r="170">
          <cell r="A170" t="str">
            <v>314461S</v>
          </cell>
          <cell r="B170" t="str">
            <v>Sub MCW Site Eth Ntwk Ph 2 UES</v>
          </cell>
        </row>
        <row r="171">
          <cell r="A171" t="str">
            <v>314561S</v>
          </cell>
          <cell r="B171" t="str">
            <v>Mineral Park 69kV Inter Bkr</v>
          </cell>
        </row>
        <row r="172">
          <cell r="A172" t="str">
            <v>314661A</v>
          </cell>
          <cell r="B172" t="str">
            <v>Hilltop T2 Replacement (Kg)</v>
          </cell>
        </row>
        <row r="173">
          <cell r="A173" t="str">
            <v>314761S</v>
          </cell>
          <cell r="B173" t="str">
            <v>Hoover Dam Relay Upgrade</v>
          </cell>
        </row>
        <row r="174">
          <cell r="A174" t="str">
            <v>314864S</v>
          </cell>
          <cell r="B174" t="str">
            <v>Sonoita Bkr Replc 115 to 138kV</v>
          </cell>
        </row>
        <row r="175">
          <cell r="A175" t="str">
            <v>314961S</v>
          </cell>
          <cell r="B175" t="str">
            <v>Renewable Engineering (Kg)</v>
          </cell>
        </row>
        <row r="176">
          <cell r="A176" t="str">
            <v>314962S</v>
          </cell>
          <cell r="B176" t="str">
            <v>Renewable Engineering (LH)</v>
          </cell>
        </row>
        <row r="177">
          <cell r="A177" t="str">
            <v>314964S</v>
          </cell>
          <cell r="B177" t="str">
            <v>Renewable Engineering (SC)</v>
          </cell>
        </row>
        <row r="178">
          <cell r="A178" t="str">
            <v>315000A</v>
          </cell>
          <cell r="B178" t="str">
            <v>UMS-SQLCad &amp; AutoCAD Upgr-UNSE</v>
          </cell>
        </row>
        <row r="179">
          <cell r="A179" t="str">
            <v>315061A</v>
          </cell>
          <cell r="B179" t="str">
            <v>Safety Equip (KG)</v>
          </cell>
        </row>
        <row r="180">
          <cell r="A180" t="str">
            <v>315061B</v>
          </cell>
          <cell r="B180" t="str">
            <v>Safety Equip- Repl (King)</v>
          </cell>
        </row>
        <row r="181">
          <cell r="A181" t="str">
            <v>315062A</v>
          </cell>
          <cell r="B181" t="str">
            <v>Safety Equip (LH)</v>
          </cell>
        </row>
        <row r="182">
          <cell r="A182" t="str">
            <v>315062B</v>
          </cell>
          <cell r="B182" t="str">
            <v>Safety Equip- Repl. (LH)</v>
          </cell>
        </row>
        <row r="183">
          <cell r="A183" t="str">
            <v>315064A</v>
          </cell>
          <cell r="B183" t="str">
            <v>Safety Equip (Nog)</v>
          </cell>
        </row>
        <row r="184">
          <cell r="A184" t="str">
            <v>315161A</v>
          </cell>
          <cell r="B184" t="str">
            <v>2015 ND cStor UNSE Kingman</v>
          </cell>
        </row>
        <row r="185">
          <cell r="A185" t="str">
            <v>315162A</v>
          </cell>
          <cell r="B185" t="str">
            <v>2015 ND cStor UNSE Havasu</v>
          </cell>
        </row>
        <row r="186">
          <cell r="A186" t="str">
            <v>315261A</v>
          </cell>
          <cell r="B186" t="str">
            <v>Greentree Recloser Comm</v>
          </cell>
        </row>
        <row r="187">
          <cell r="A187" t="str">
            <v>315261S</v>
          </cell>
          <cell r="B187" t="str">
            <v>Mohave Fiber Equip Instal (KG)</v>
          </cell>
        </row>
        <row r="188">
          <cell r="A188" t="str">
            <v>315361A</v>
          </cell>
          <cell r="B188" t="str">
            <v>Dolan Springs Fiber Drop</v>
          </cell>
        </row>
        <row r="189">
          <cell r="A189" t="str">
            <v>315361S</v>
          </cell>
          <cell r="B189" t="str">
            <v>Eastern Sub to Hilltop Fiber</v>
          </cell>
        </row>
        <row r="190">
          <cell r="A190" t="str">
            <v>315461A</v>
          </cell>
          <cell r="B190" t="str">
            <v>UES Dispatch Radio Upgrade</v>
          </cell>
        </row>
        <row r="191">
          <cell r="A191" t="str">
            <v>315561A</v>
          </cell>
          <cell r="B191" t="str">
            <v>Casson RTU Upgrade</v>
          </cell>
        </row>
        <row r="192">
          <cell r="A192" t="str">
            <v>315661A</v>
          </cell>
          <cell r="B192" t="str">
            <v>Golden Vly Sub RTU Upgrade</v>
          </cell>
        </row>
        <row r="193">
          <cell r="A193" t="str">
            <v>315761A</v>
          </cell>
          <cell r="B193" t="str">
            <v>Jagerson RTU Upgrade</v>
          </cell>
        </row>
        <row r="194">
          <cell r="A194" t="str">
            <v>315961A</v>
          </cell>
          <cell r="B194" t="str">
            <v>Sacramento RTU Upgrade</v>
          </cell>
        </row>
        <row r="195">
          <cell r="A195" t="str">
            <v>315961S</v>
          </cell>
          <cell r="B195" t="str">
            <v>Jacobson Project</v>
          </cell>
        </row>
        <row r="196">
          <cell r="A196" t="str">
            <v>316000A</v>
          </cell>
          <cell r="B196" t="str">
            <v>Land Rghts O&amp;M to Cap-DLines</v>
          </cell>
        </row>
        <row r="197">
          <cell r="A197" t="str">
            <v>316061A</v>
          </cell>
          <cell r="B197" t="str">
            <v>Substation Tool Purchases</v>
          </cell>
        </row>
        <row r="198">
          <cell r="A198" t="str">
            <v>316061B</v>
          </cell>
          <cell r="B198" t="str">
            <v>Subst &amp; Meter Eq-Repl(King)</v>
          </cell>
        </row>
        <row r="199">
          <cell r="A199" t="str">
            <v>316062B</v>
          </cell>
          <cell r="B199" t="str">
            <v>UG Cable Repl (LH)</v>
          </cell>
        </row>
        <row r="200">
          <cell r="A200" t="str">
            <v>316064A</v>
          </cell>
          <cell r="B200" t="str">
            <v>Rio Rico New Serv (Nog)</v>
          </cell>
        </row>
        <row r="201">
          <cell r="A201" t="str">
            <v>316100A</v>
          </cell>
          <cell r="B201" t="str">
            <v>Land Rgts Conv OM to Cap</v>
          </cell>
        </row>
        <row r="202">
          <cell r="A202" t="str">
            <v>316161B</v>
          </cell>
          <cell r="B202" t="str">
            <v>Casson Substation upgrade</v>
          </cell>
        </row>
        <row r="203">
          <cell r="A203" t="str">
            <v>316161S</v>
          </cell>
          <cell r="B203" t="str">
            <v>Meadview North Circuit Feeder</v>
          </cell>
        </row>
        <row r="204">
          <cell r="A204" t="str">
            <v>316162B</v>
          </cell>
          <cell r="B204" t="str">
            <v>Black Mesa Switch Structures</v>
          </cell>
        </row>
        <row r="205">
          <cell r="A205" t="str">
            <v>316261S</v>
          </cell>
          <cell r="B205" t="str">
            <v>Meadview South Circuit Feeder</v>
          </cell>
        </row>
        <row r="206">
          <cell r="A206" t="str">
            <v>316262B</v>
          </cell>
          <cell r="B206" t="str">
            <v>Lake Havasu Sub 69kV Feed Rbld</v>
          </cell>
        </row>
        <row r="207">
          <cell r="A207" t="str">
            <v>316362B</v>
          </cell>
          <cell r="B207" t="str">
            <v>Hampton Inn Deadend Structures</v>
          </cell>
        </row>
        <row r="208">
          <cell r="A208" t="str">
            <v>316961A</v>
          </cell>
          <cell r="B208" t="str">
            <v>UNSE Community Solar Interconn</v>
          </cell>
        </row>
        <row r="209">
          <cell r="A209" t="str">
            <v>317061A</v>
          </cell>
          <cell r="B209" t="str">
            <v>Reclosers (KG)</v>
          </cell>
        </row>
        <row r="210">
          <cell r="A210" t="str">
            <v>317061B</v>
          </cell>
          <cell r="B210" t="str">
            <v>Repl Reclosers (King)</v>
          </cell>
        </row>
        <row r="211">
          <cell r="A211" t="str">
            <v>317161A</v>
          </cell>
          <cell r="B211" t="str">
            <v>Grey Hawk Solar Interconnect</v>
          </cell>
        </row>
        <row r="212">
          <cell r="A212" t="str">
            <v>317161S</v>
          </cell>
          <cell r="B212" t="str">
            <v>Worst Performing Circt JA5064</v>
          </cell>
        </row>
        <row r="213">
          <cell r="A213" t="str">
            <v>317261S</v>
          </cell>
          <cell r="B213" t="str">
            <v>Industrial Sub UG Feeder Exits</v>
          </cell>
        </row>
        <row r="214">
          <cell r="A214" t="str">
            <v>317361B</v>
          </cell>
          <cell r="B214" t="str">
            <v>Remove Katherine Landing Line</v>
          </cell>
        </row>
        <row r="215">
          <cell r="A215" t="str">
            <v>317361S</v>
          </cell>
          <cell r="B215" t="str">
            <v>Round Valley Feeders</v>
          </cell>
        </row>
        <row r="216">
          <cell r="A216" t="str">
            <v>318061A</v>
          </cell>
          <cell r="B216" t="str">
            <v>Purch Distr Swtchs (King)</v>
          </cell>
        </row>
        <row r="217">
          <cell r="A217" t="str">
            <v>318062A</v>
          </cell>
          <cell r="B217" t="str">
            <v>Purch Distr Swtchs (LH)</v>
          </cell>
        </row>
        <row r="218">
          <cell r="A218" t="str">
            <v>318064A</v>
          </cell>
          <cell r="B218" t="str">
            <v>Purch Distr Switches (Nog)</v>
          </cell>
        </row>
        <row r="219">
          <cell r="A219" t="str">
            <v>318162B</v>
          </cell>
          <cell r="B219" t="str">
            <v>Crystal Beach Add Phase (LH)</v>
          </cell>
        </row>
        <row r="220">
          <cell r="A220" t="str">
            <v>318166A</v>
          </cell>
          <cell r="B220" t="str">
            <v>IP Camera Conversion BMGS</v>
          </cell>
        </row>
        <row r="221">
          <cell r="A221" t="str">
            <v>318262S</v>
          </cell>
          <cell r="B221" t="str">
            <v>Cambr Greens-Lakeshore Vill UG</v>
          </cell>
        </row>
        <row r="222">
          <cell r="A222" t="str">
            <v>318362S</v>
          </cell>
          <cell r="B222" t="str">
            <v>Cattail Cove-Sand Point UG</v>
          </cell>
        </row>
        <row r="223">
          <cell r="A223" t="str">
            <v>318462S</v>
          </cell>
          <cell r="B223" t="str">
            <v>Daytona Area UG Cable Repl</v>
          </cell>
        </row>
        <row r="224">
          <cell r="A224" t="str">
            <v>318562S</v>
          </cell>
          <cell r="B224" t="str">
            <v>Empress-Clarke Area UG Repl</v>
          </cell>
        </row>
        <row r="225">
          <cell r="A225" t="str">
            <v>318662S</v>
          </cell>
          <cell r="B225" t="str">
            <v>Golf Course UG Cable Repl</v>
          </cell>
        </row>
        <row r="226">
          <cell r="A226" t="str">
            <v>318762S</v>
          </cell>
          <cell r="B226" t="str">
            <v>Havasu Garden Estates UG</v>
          </cell>
        </row>
        <row r="227">
          <cell r="A227" t="str">
            <v>318862S</v>
          </cell>
          <cell r="B227" t="str">
            <v>Havasupai Tract UG Cable Repl</v>
          </cell>
        </row>
        <row r="228">
          <cell r="A228" t="str">
            <v>318962S</v>
          </cell>
          <cell r="B228" t="str">
            <v>Island UG Cable Repl</v>
          </cell>
        </row>
        <row r="229">
          <cell r="A229" t="str">
            <v>319061A</v>
          </cell>
          <cell r="B229" t="str">
            <v>Regulators (KG)</v>
          </cell>
        </row>
        <row r="230">
          <cell r="A230" t="str">
            <v>319061B</v>
          </cell>
          <cell r="B230" t="str">
            <v>Replace Regulators (King)</v>
          </cell>
        </row>
        <row r="231">
          <cell r="A231" t="str">
            <v>319062S</v>
          </cell>
          <cell r="B231" t="str">
            <v>Lakeview Mobile Home Park UG</v>
          </cell>
        </row>
        <row r="232">
          <cell r="A232" t="str">
            <v>319064B</v>
          </cell>
          <cell r="B232" t="str">
            <v>Replace Regulators (Nog)</v>
          </cell>
        </row>
        <row r="233">
          <cell r="A233" t="str">
            <v>319162S</v>
          </cell>
          <cell r="B233" t="str">
            <v>Los Lagos UG Cable Repl</v>
          </cell>
        </row>
        <row r="234">
          <cell r="A234" t="str">
            <v>319262S</v>
          </cell>
          <cell r="B234" t="str">
            <v>Quailridge-Sunset Mobile UG</v>
          </cell>
        </row>
        <row r="235">
          <cell r="A235" t="str">
            <v>319362S</v>
          </cell>
          <cell r="B235" t="str">
            <v>Smoketree Tract UG Cable Repl</v>
          </cell>
        </row>
        <row r="236">
          <cell r="A236" t="str">
            <v>319462S</v>
          </cell>
          <cell r="B236" t="str">
            <v>Valley Manor Mobile Home UG</v>
          </cell>
        </row>
        <row r="237">
          <cell r="A237" t="str">
            <v>319562S</v>
          </cell>
          <cell r="B237" t="str">
            <v>Windsor Beach Condos Cable(LH)</v>
          </cell>
        </row>
        <row r="238">
          <cell r="A238" t="str">
            <v>320064A</v>
          </cell>
          <cell r="B238" t="str">
            <v>Constr Eq - New (Nog)</v>
          </cell>
        </row>
        <row r="239">
          <cell r="A239" t="str">
            <v>320064S</v>
          </cell>
          <cell r="B239" t="str">
            <v>Comm New Bus Ln Ext (Nog)</v>
          </cell>
        </row>
        <row r="240">
          <cell r="A240" t="str">
            <v>320164S</v>
          </cell>
          <cell r="B240" t="str">
            <v>Indust New Bus Ln Ext&amp;Svc(Nog)</v>
          </cell>
        </row>
        <row r="241">
          <cell r="A241" t="str">
            <v>320264S</v>
          </cell>
          <cell r="B241" t="str">
            <v>Resid New Bus Ln Ext (Nog)</v>
          </cell>
        </row>
        <row r="242">
          <cell r="A242" t="str">
            <v>320564B</v>
          </cell>
          <cell r="B242" t="str">
            <v>Frame 5 Exhaust Sys Repl (3)</v>
          </cell>
        </row>
        <row r="243">
          <cell r="A243" t="str">
            <v>320664B</v>
          </cell>
          <cell r="B243" t="str">
            <v>Frame 5 Fire System Rplmts (3)</v>
          </cell>
        </row>
        <row r="244">
          <cell r="A244" t="str">
            <v>320964B</v>
          </cell>
          <cell r="B244" t="str">
            <v>Val Station Battery Repl</v>
          </cell>
        </row>
        <row r="245">
          <cell r="A245" t="str">
            <v>321062B</v>
          </cell>
          <cell r="B245" t="str">
            <v>Repl Subst Breakers (LH)</v>
          </cell>
        </row>
        <row r="246">
          <cell r="A246" t="str">
            <v>321065B</v>
          </cell>
          <cell r="B246" t="str">
            <v>Val Unit 4 Rotable Exchange</v>
          </cell>
        </row>
        <row r="247">
          <cell r="A247" t="str">
            <v>321164B</v>
          </cell>
          <cell r="B247" t="str">
            <v>Val UPS Battery Repl</v>
          </cell>
        </row>
        <row r="248">
          <cell r="A248" t="str">
            <v>321264B</v>
          </cell>
          <cell r="B248" t="str">
            <v>VPP Lift Truck</v>
          </cell>
        </row>
        <row r="249">
          <cell r="A249" t="str">
            <v>321365B</v>
          </cell>
          <cell r="B249" t="str">
            <v>VAL U3 Major Overhaul</v>
          </cell>
        </row>
        <row r="250">
          <cell r="A250" t="str">
            <v>321461A</v>
          </cell>
          <cell r="B250" t="str">
            <v>Inlet Heating System U12</v>
          </cell>
        </row>
        <row r="251">
          <cell r="A251" t="str">
            <v>321561B</v>
          </cell>
          <cell r="B251" t="str">
            <v>Uni1 Chiller Coils (4)</v>
          </cell>
        </row>
        <row r="252">
          <cell r="A252" t="str">
            <v>321865B</v>
          </cell>
          <cell r="B252" t="str">
            <v>Valencia Plant Site Paving</v>
          </cell>
        </row>
        <row r="253">
          <cell r="A253" t="str">
            <v>321965B</v>
          </cell>
          <cell r="B253" t="str">
            <v>Val U4 Turbine Mid-Frame Repl</v>
          </cell>
        </row>
        <row r="254">
          <cell r="A254" t="str">
            <v>322064A</v>
          </cell>
          <cell r="B254" t="str">
            <v>Systems Integr Proj (Nog)</v>
          </cell>
        </row>
        <row r="255">
          <cell r="A255" t="str">
            <v>322161S</v>
          </cell>
          <cell r="B255" t="str">
            <v>Chloride Feeder</v>
          </cell>
        </row>
        <row r="256">
          <cell r="A256" t="str">
            <v>322361S</v>
          </cell>
          <cell r="B256" t="str">
            <v>Chloride 69kV - 20.8kV Sub</v>
          </cell>
        </row>
        <row r="257">
          <cell r="A257" t="str">
            <v>322561S</v>
          </cell>
          <cell r="B257" t="str">
            <v>W. Golden Valley T2 Add (Kg)</v>
          </cell>
        </row>
        <row r="258">
          <cell r="A258" t="str">
            <v>322661S</v>
          </cell>
          <cell r="B258" t="str">
            <v>Mineral Park Breaker Repl</v>
          </cell>
        </row>
        <row r="259">
          <cell r="A259" t="str">
            <v>322861S</v>
          </cell>
          <cell r="B259" t="str">
            <v>EMS Hardware Replacement (Kg)</v>
          </cell>
        </row>
        <row r="260">
          <cell r="A260" t="str">
            <v>323061M</v>
          </cell>
          <cell r="B260" t="str">
            <v>Sys Imp-Bolsa-Shin (King)</v>
          </cell>
        </row>
        <row r="261">
          <cell r="A261" t="str">
            <v>323061S</v>
          </cell>
          <cell r="B261" t="str">
            <v>SK to Hilltop 69kV Rebuild</v>
          </cell>
        </row>
        <row r="262">
          <cell r="A262" t="str">
            <v>323062M</v>
          </cell>
          <cell r="B262" t="str">
            <v>Sys Imprv (LH)</v>
          </cell>
        </row>
        <row r="263">
          <cell r="A263" t="str">
            <v>323161S</v>
          </cell>
          <cell r="B263" t="str">
            <v>Beverly to NK Sub 69kV Rebuild</v>
          </cell>
        </row>
        <row r="264">
          <cell r="A264" t="str">
            <v>323261S</v>
          </cell>
          <cell r="B264" t="str">
            <v>Willow Beach 69kV Reroute</v>
          </cell>
        </row>
        <row r="265">
          <cell r="A265" t="str">
            <v>323264A</v>
          </cell>
          <cell r="B265" t="str">
            <v>Hohokam Tie In DEM- 15-18</v>
          </cell>
        </row>
        <row r="266">
          <cell r="A266" t="str">
            <v>323361S</v>
          </cell>
          <cell r="B266" t="str">
            <v>Hwy Sub North Insulator Repl</v>
          </cell>
        </row>
        <row r="267">
          <cell r="A267" t="str">
            <v>323364A</v>
          </cell>
          <cell r="B267" t="str">
            <v>Old Ruby Road Recon</v>
          </cell>
        </row>
        <row r="268">
          <cell r="A268" t="str">
            <v>323461S</v>
          </cell>
          <cell r="B268" t="str">
            <v>Hwy 93 Pierce Fe Rd 69kV Cross</v>
          </cell>
        </row>
        <row r="269">
          <cell r="A269" t="str">
            <v>323464A</v>
          </cell>
          <cell r="B269" t="str">
            <v>White Park and Mariposa Tie In</v>
          </cell>
        </row>
        <row r="270">
          <cell r="A270" t="str">
            <v>323561S</v>
          </cell>
          <cell r="B270" t="str">
            <v>CH8050 to WGV8035 Tie</v>
          </cell>
        </row>
        <row r="271">
          <cell r="A271" t="str">
            <v>323564A</v>
          </cell>
          <cell r="B271" t="str">
            <v>Valle Verde Tie-In</v>
          </cell>
        </row>
        <row r="272">
          <cell r="A272" t="str">
            <v>323661S</v>
          </cell>
          <cell r="B272" t="str">
            <v>Dairy to NK Sub Underbuild</v>
          </cell>
        </row>
        <row r="273">
          <cell r="A273" t="str">
            <v>323664B</v>
          </cell>
          <cell r="B273" t="str">
            <v>West Frontage Rd Recon</v>
          </cell>
        </row>
        <row r="274">
          <cell r="A274" t="str">
            <v>323761S</v>
          </cell>
          <cell r="B274" t="str">
            <v>Fairgrounds Blvd Rebuild</v>
          </cell>
        </row>
        <row r="275">
          <cell r="A275" t="str">
            <v>323764B</v>
          </cell>
          <cell r="B275" t="str">
            <v>Valencia to Redscho Recon-6243</v>
          </cell>
        </row>
        <row r="276">
          <cell r="A276" t="str">
            <v>323861S</v>
          </cell>
          <cell r="B276" t="str">
            <v>SK to Hilltop Distr Rebuild</v>
          </cell>
        </row>
        <row r="277">
          <cell r="A277" t="str">
            <v>323961S</v>
          </cell>
          <cell r="B277" t="str">
            <v>North Kingman UG Feeder Exits</v>
          </cell>
        </row>
        <row r="278">
          <cell r="A278" t="str">
            <v>323964B</v>
          </cell>
          <cell r="B278" t="str">
            <v>Mariposa UG Replacement</v>
          </cell>
        </row>
        <row r="279">
          <cell r="A279" t="str">
            <v>324061S</v>
          </cell>
          <cell r="B279" t="str">
            <v>Beverly to NK Sub Underbuild</v>
          </cell>
        </row>
        <row r="280">
          <cell r="A280" t="str">
            <v>324161B</v>
          </cell>
          <cell r="B280" t="str">
            <v>Fiber to Eastern Sub (King)</v>
          </cell>
        </row>
        <row r="281">
          <cell r="A281" t="str">
            <v>324161S</v>
          </cell>
          <cell r="B281" t="str">
            <v>Katherine Landing PM Retrofit</v>
          </cell>
        </row>
        <row r="282">
          <cell r="A282" t="str">
            <v>324164B</v>
          </cell>
          <cell r="B282" t="str">
            <v>Desert Shadow DEM-15-31</v>
          </cell>
        </row>
        <row r="283">
          <cell r="A283" t="str">
            <v>324261S</v>
          </cell>
          <cell r="B283" t="str">
            <v>Borian 20.8kV Recl&amp;Scad Upg-KG</v>
          </cell>
        </row>
        <row r="284">
          <cell r="A284" t="str">
            <v>324461S</v>
          </cell>
          <cell r="B284" t="str">
            <v>NK to NK Sub Underbuild</v>
          </cell>
        </row>
        <row r="285">
          <cell r="A285" t="str">
            <v>324462S</v>
          </cell>
          <cell r="B285" t="str">
            <v>Yucca to Black Mountain Fiber</v>
          </cell>
        </row>
        <row r="286">
          <cell r="A286" t="str">
            <v>324861S</v>
          </cell>
          <cell r="B286" t="str">
            <v>Cheyenne Substation</v>
          </cell>
        </row>
        <row r="287">
          <cell r="A287" t="str">
            <v>325061I</v>
          </cell>
          <cell r="B287" t="str">
            <v>69kV Fdrs fr Havasu N (King)</v>
          </cell>
        </row>
        <row r="288">
          <cell r="A288" t="str">
            <v>325062I</v>
          </cell>
          <cell r="B288" t="str">
            <v>69kV Fdrs-Havasu North (LH)</v>
          </cell>
        </row>
        <row r="289">
          <cell r="A289" t="str">
            <v>326061M</v>
          </cell>
          <cell r="B289" t="str">
            <v>Sys Imp-Stockton Hill (King)</v>
          </cell>
        </row>
        <row r="290">
          <cell r="A290" t="str">
            <v>326061S</v>
          </cell>
          <cell r="B290" t="str">
            <v>Rebuild Dolan Springs 8025</v>
          </cell>
        </row>
        <row r="291">
          <cell r="A291" t="str">
            <v>326064A</v>
          </cell>
          <cell r="B291" t="str">
            <v>Pwr Plt Tools &amp; Eq (Nog)</v>
          </cell>
        </row>
        <row r="292">
          <cell r="A292" t="str">
            <v>326161S</v>
          </cell>
          <cell r="B292" t="str">
            <v>WGV Sub Feeder Addition (KG)</v>
          </cell>
        </row>
        <row r="293">
          <cell r="A293" t="str">
            <v>326261S</v>
          </cell>
          <cell r="B293" t="str">
            <v>WWE-Boriana Sub Underbuild</v>
          </cell>
        </row>
        <row r="294">
          <cell r="A294" t="str">
            <v>326361S</v>
          </cell>
          <cell r="B294" t="str">
            <v>Recond Fdr Tie 5003-5013</v>
          </cell>
        </row>
        <row r="295">
          <cell r="A295" t="str">
            <v>326561S</v>
          </cell>
          <cell r="B295" t="str">
            <v>Rebuild 69kV Hermit Dr-SoHiSub</v>
          </cell>
        </row>
        <row r="296">
          <cell r="A296" t="str">
            <v>326661S</v>
          </cell>
          <cell r="B296" t="str">
            <v>Rebuild 69kV ChlorSub-HermitRd</v>
          </cell>
        </row>
        <row r="297">
          <cell r="A297" t="str">
            <v>326761S</v>
          </cell>
          <cell r="B297" t="str">
            <v>Rebuild 69kV CoyotePass-NKgSub</v>
          </cell>
        </row>
        <row r="298">
          <cell r="A298" t="str">
            <v>326861S</v>
          </cell>
          <cell r="B298" t="str">
            <v>Rebuild 69kV GV Sub - Hwy 93</v>
          </cell>
        </row>
        <row r="299">
          <cell r="A299" t="str">
            <v>326961S</v>
          </cell>
          <cell r="B299" t="str">
            <v>69KV Rebuild Coyote Pass - I40</v>
          </cell>
        </row>
        <row r="300">
          <cell r="A300" t="str">
            <v>327061S</v>
          </cell>
          <cell r="B300" t="str">
            <v>69kV Rebuild WWE-Boriana Sub</v>
          </cell>
        </row>
        <row r="301">
          <cell r="A301" t="str">
            <v>327062I</v>
          </cell>
          <cell r="B301" t="str">
            <v>Griff-N Hav Sub 230kV (LH)</v>
          </cell>
        </row>
        <row r="302">
          <cell r="A302" t="str">
            <v>327161S</v>
          </cell>
          <cell r="B302" t="str">
            <v>Land Puch Warehouse-Admin (KG)</v>
          </cell>
        </row>
        <row r="303">
          <cell r="A303" t="str">
            <v>327261S</v>
          </cell>
          <cell r="B303" t="str">
            <v>WWE Boriana Sub Rebuild Ph 3</v>
          </cell>
        </row>
        <row r="304">
          <cell r="A304" t="str">
            <v>327262S</v>
          </cell>
          <cell r="B304" t="str">
            <v>Fransonia Sub T1 Repl (LH)</v>
          </cell>
        </row>
        <row r="305">
          <cell r="A305" t="str">
            <v>327362S</v>
          </cell>
          <cell r="B305" t="str">
            <v>Havasu Sub Rebuild</v>
          </cell>
        </row>
        <row r="306">
          <cell r="A306" t="str">
            <v>327461S</v>
          </cell>
          <cell r="B306" t="str">
            <v>Western Ave Rebuild - NK5001</v>
          </cell>
        </row>
        <row r="307">
          <cell r="A307" t="str">
            <v>327462S</v>
          </cell>
          <cell r="B307" t="str">
            <v>Hwy 95 Crossing at Sara Park</v>
          </cell>
        </row>
        <row r="308">
          <cell r="A308" t="str">
            <v>327561S</v>
          </cell>
          <cell r="B308" t="str">
            <v>South Kingman Sub UG Getaways</v>
          </cell>
        </row>
        <row r="309">
          <cell r="A309" t="str">
            <v>327661S</v>
          </cell>
          <cell r="B309" t="str">
            <v>SK5012-CA5026 Feeder Tie</v>
          </cell>
        </row>
        <row r="310">
          <cell r="A310" t="str">
            <v>327761S</v>
          </cell>
          <cell r="B310" t="str">
            <v>Inset Pole Replacement</v>
          </cell>
        </row>
        <row r="311">
          <cell r="A311" t="str">
            <v>327764S</v>
          </cell>
          <cell r="B311" t="str">
            <v>Valencia Circuit Switcher 2</v>
          </cell>
        </row>
        <row r="312">
          <cell r="A312" t="str">
            <v>327866B</v>
          </cell>
          <cell r="B312" t="str">
            <v>BMGS Controls HMI Replacement</v>
          </cell>
        </row>
        <row r="313">
          <cell r="A313" t="str">
            <v>327966B</v>
          </cell>
          <cell r="B313" t="str">
            <v>BMGS Controls Replacement</v>
          </cell>
        </row>
        <row r="314">
          <cell r="A314" t="str">
            <v>328061S</v>
          </cell>
          <cell r="B314" t="str">
            <v>Purchase Subst Land King</v>
          </cell>
        </row>
        <row r="315">
          <cell r="A315" t="str">
            <v>328062I</v>
          </cell>
          <cell r="B315" t="str">
            <v>Griffith 230kV Terminal (LH)</v>
          </cell>
        </row>
        <row r="316">
          <cell r="A316" t="str">
            <v>328066B</v>
          </cell>
          <cell r="B316" t="str">
            <v>BMGS Predict Maint Instrumenta</v>
          </cell>
        </row>
        <row r="317">
          <cell r="A317" t="str">
            <v>328162S</v>
          </cell>
          <cell r="B317" t="str">
            <v>Subs Oil Spill Prevention</v>
          </cell>
        </row>
        <row r="318">
          <cell r="A318" t="str">
            <v>328166A</v>
          </cell>
          <cell r="B318" t="str">
            <v>BMGS Raw Water Recirc Sys</v>
          </cell>
        </row>
        <row r="319">
          <cell r="A319" t="str">
            <v>328266A</v>
          </cell>
          <cell r="B319" t="str">
            <v>BMGS DCS Sftw Upgr Hx Alrm Rpt</v>
          </cell>
        </row>
        <row r="320">
          <cell r="A320" t="str">
            <v>328366A</v>
          </cell>
          <cell r="B320" t="str">
            <v>BMGS RCM System</v>
          </cell>
        </row>
        <row r="321">
          <cell r="A321" t="str">
            <v>328366B</v>
          </cell>
          <cell r="B321" t="str">
            <v>BMGS Chem Feed Tanks/Statn Rep</v>
          </cell>
        </row>
        <row r="322">
          <cell r="A322" t="str">
            <v>328466B</v>
          </cell>
          <cell r="B322" t="str">
            <v>BMGS Silica Analyzer Repl</v>
          </cell>
        </row>
        <row r="323">
          <cell r="A323" t="str">
            <v>328566B</v>
          </cell>
          <cell r="B323" t="str">
            <v>BMGS Well Replacement</v>
          </cell>
        </row>
        <row r="324">
          <cell r="A324" t="str">
            <v>328666B</v>
          </cell>
          <cell r="B324" t="str">
            <v>BMGS U2 GT HS Repl</v>
          </cell>
        </row>
        <row r="325">
          <cell r="A325" t="str">
            <v>328766B</v>
          </cell>
          <cell r="B325" t="str">
            <v>BMGS U1 HPT_LPT Repl</v>
          </cell>
        </row>
        <row r="326">
          <cell r="A326" t="str">
            <v>328866B</v>
          </cell>
          <cell r="B326" t="str">
            <v>BMGS Chiller Motor Repl</v>
          </cell>
        </row>
        <row r="327">
          <cell r="A327" t="str">
            <v>328966B</v>
          </cell>
          <cell r="B327" t="str">
            <v>BMGS Chiller Control Upgrade</v>
          </cell>
        </row>
        <row r="328">
          <cell r="A328" t="str">
            <v>330061A</v>
          </cell>
          <cell r="B328" t="str">
            <v>Resid New Bus Ln Ext (KG)</v>
          </cell>
        </row>
        <row r="329">
          <cell r="A329" t="str">
            <v>330061S</v>
          </cell>
          <cell r="B329" t="str">
            <v>West Golden Valley Subst King</v>
          </cell>
        </row>
        <row r="330">
          <cell r="A330" t="str">
            <v>330062A</v>
          </cell>
          <cell r="B330" t="str">
            <v>Resid New Bus Ln Ext (LH)</v>
          </cell>
        </row>
        <row r="331">
          <cell r="A331" t="str">
            <v>330064A</v>
          </cell>
          <cell r="B331" t="str">
            <v>Line Extensions &lt;$50K Nog</v>
          </cell>
        </row>
        <row r="332">
          <cell r="A332" t="str">
            <v>330064B</v>
          </cell>
          <cell r="B332" t="str">
            <v>Comm New Bus Svcs (Nog)</v>
          </cell>
        </row>
        <row r="333">
          <cell r="A333" t="str">
            <v>330164B</v>
          </cell>
          <cell r="B333" t="str">
            <v>Resid New Bus Svcs (Nog)</v>
          </cell>
        </row>
        <row r="334">
          <cell r="A334" t="str">
            <v>330264B</v>
          </cell>
          <cell r="B334" t="str">
            <v>New Bus Distr Fdr &amp; Ties (Nog)</v>
          </cell>
        </row>
        <row r="335">
          <cell r="A335" t="str">
            <v>330364S</v>
          </cell>
          <cell r="B335" t="str">
            <v>Extd Fdr to Sopori Greenhouse</v>
          </cell>
        </row>
        <row r="336">
          <cell r="A336" t="str">
            <v>331061A</v>
          </cell>
          <cell r="B336" t="str">
            <v>Distrib Syst Bettr. King</v>
          </cell>
        </row>
        <row r="337">
          <cell r="A337" t="str">
            <v>331061B</v>
          </cell>
          <cell r="B337" t="str">
            <v>Dist. System R&amp;B (KG)</v>
          </cell>
        </row>
        <row r="338">
          <cell r="A338" t="str">
            <v>331061S</v>
          </cell>
          <cell r="B338" t="str">
            <v>Boriana to W Gldn V 69kV Ln Kg</v>
          </cell>
        </row>
        <row r="339">
          <cell r="A339" t="str">
            <v>331062A</v>
          </cell>
          <cell r="B339" t="str">
            <v>Distr. System Bettr. LH</v>
          </cell>
        </row>
        <row r="340">
          <cell r="A340" t="str">
            <v>331062B</v>
          </cell>
          <cell r="B340" t="str">
            <v>Dist. System R&amp;B (LH)</v>
          </cell>
        </row>
        <row r="341">
          <cell r="A341" t="str">
            <v>331064A</v>
          </cell>
          <cell r="B341" t="str">
            <v>Distrib Syst Bettr. Nog</v>
          </cell>
        </row>
        <row r="342">
          <cell r="A342" t="str">
            <v>331064B</v>
          </cell>
          <cell r="B342" t="str">
            <v>Distrib Syst Repl Nog</v>
          </cell>
        </row>
        <row r="343">
          <cell r="A343" t="str">
            <v>331164B</v>
          </cell>
          <cell r="B343" t="str">
            <v>Storm Damage OH Dist</v>
          </cell>
        </row>
        <row r="344">
          <cell r="A344" t="str">
            <v>331264B</v>
          </cell>
          <cell r="B344" t="str">
            <v>Storm Damage UG Dist</v>
          </cell>
        </row>
        <row r="345">
          <cell r="A345" t="str">
            <v>331364B</v>
          </cell>
          <cell r="B345" t="str">
            <v>Damage Billable OH Dist</v>
          </cell>
        </row>
        <row r="346">
          <cell r="A346" t="str">
            <v>331464B</v>
          </cell>
          <cell r="B346" t="str">
            <v>Damage Billable UG Dist</v>
          </cell>
        </row>
        <row r="347">
          <cell r="A347" t="str">
            <v>331561B</v>
          </cell>
          <cell r="B347" t="str">
            <v>Trans Sys Intgity &amp; Restor KG</v>
          </cell>
        </row>
        <row r="348">
          <cell r="A348" t="str">
            <v>331562B</v>
          </cell>
          <cell r="B348" t="str">
            <v>Trans Sys Intgity &amp; Restor LH</v>
          </cell>
        </row>
        <row r="349">
          <cell r="A349" t="str">
            <v>331564B</v>
          </cell>
          <cell r="B349" t="str">
            <v>Priority A OH Dist (Nog)</v>
          </cell>
        </row>
        <row r="350">
          <cell r="A350" t="str">
            <v>331664B</v>
          </cell>
          <cell r="B350" t="str">
            <v>Priority A UG Dist (Nog)</v>
          </cell>
        </row>
        <row r="351">
          <cell r="A351" t="str">
            <v>331764B</v>
          </cell>
          <cell r="B351" t="str">
            <v>Prevent Maint OH Dist (Nog)</v>
          </cell>
        </row>
        <row r="352">
          <cell r="A352" t="str">
            <v>331864B</v>
          </cell>
          <cell r="B352" t="str">
            <v>Prevent Maint UG Dist (Nog)</v>
          </cell>
        </row>
        <row r="353">
          <cell r="A353" t="str">
            <v>331964A</v>
          </cell>
          <cell r="B353" t="str">
            <v>Direct Load Control Program</v>
          </cell>
        </row>
        <row r="354">
          <cell r="A354" t="str">
            <v>331964B</v>
          </cell>
          <cell r="B354" t="str">
            <v>Raptor Related Repl&amp;Bettr(Nog)</v>
          </cell>
        </row>
        <row r="355">
          <cell r="A355" t="str">
            <v>332061B</v>
          </cell>
          <cell r="B355" t="str">
            <v>Western Stockton Hill Rebuild</v>
          </cell>
        </row>
        <row r="356">
          <cell r="A356" t="str">
            <v>332061S</v>
          </cell>
          <cell r="B356" t="str">
            <v>SCADA Sys King &amp; Havasu</v>
          </cell>
        </row>
        <row r="357">
          <cell r="A357" t="str">
            <v>332062B</v>
          </cell>
          <cell r="B357" t="str">
            <v>Kiowa Cir 6016 Bird Guarding</v>
          </cell>
        </row>
        <row r="358">
          <cell r="A358" t="str">
            <v>332064A</v>
          </cell>
          <cell r="B358" t="str">
            <v>Distrib Feeders &amp; Ties Nog</v>
          </cell>
        </row>
        <row r="359">
          <cell r="A359" t="str">
            <v>332064B</v>
          </cell>
          <cell r="B359" t="str">
            <v>Distr Voltage Conversion (Nog)</v>
          </cell>
        </row>
        <row r="360">
          <cell r="A360" t="str">
            <v>332064S</v>
          </cell>
          <cell r="B360" t="str">
            <v>SCADA Sys Nogales</v>
          </cell>
        </row>
        <row r="361">
          <cell r="A361" t="str">
            <v>332164B</v>
          </cell>
          <cell r="B361" t="str">
            <v>Transmission Capacitors (Nog)</v>
          </cell>
        </row>
        <row r="362">
          <cell r="A362" t="str">
            <v>332264B</v>
          </cell>
          <cell r="B362" t="str">
            <v>Nogales-Patagonia 13.2kV Rbld</v>
          </cell>
        </row>
        <row r="363">
          <cell r="A363" t="str">
            <v>333061A</v>
          </cell>
          <cell r="B363" t="str">
            <v>Comm New Bus Ln Ext (KG)</v>
          </cell>
        </row>
        <row r="364">
          <cell r="A364" t="str">
            <v>333061B</v>
          </cell>
          <cell r="B364" t="str">
            <v>Morrow Ave Rebuild</v>
          </cell>
        </row>
        <row r="365">
          <cell r="A365" t="str">
            <v>333062A</v>
          </cell>
          <cell r="B365" t="str">
            <v>Comm New Bus Ln Ext (LH)</v>
          </cell>
        </row>
        <row r="366">
          <cell r="A366" t="str">
            <v>333062B</v>
          </cell>
          <cell r="B366" t="str">
            <v>Mulberry to London Bridge Fibe</v>
          </cell>
        </row>
        <row r="367">
          <cell r="A367" t="str">
            <v>333064A</v>
          </cell>
          <cell r="B367" t="str">
            <v>Line Ext &gt;$50K Nog</v>
          </cell>
        </row>
        <row r="368">
          <cell r="A368" t="str">
            <v>334061S</v>
          </cell>
          <cell r="B368" t="str">
            <v>Jager Sub Trnsfmr (King)</v>
          </cell>
        </row>
        <row r="369">
          <cell r="A369" t="str">
            <v>334062B</v>
          </cell>
          <cell r="B369" t="str">
            <v>Havasu - Mulberry Fiber</v>
          </cell>
        </row>
        <row r="370">
          <cell r="A370" t="str">
            <v>335061B</v>
          </cell>
          <cell r="B370" t="str">
            <v>T&amp;D Public Improvement (King)</v>
          </cell>
        </row>
        <row r="371">
          <cell r="A371" t="str">
            <v>335062A</v>
          </cell>
          <cell r="B371" t="str">
            <v>LHC Airport Loop Feed</v>
          </cell>
        </row>
        <row r="372">
          <cell r="A372" t="str">
            <v>335064B</v>
          </cell>
          <cell r="B372" t="str">
            <v>T&amp;D Public Improvement (Nog)</v>
          </cell>
        </row>
        <row r="373">
          <cell r="A373" t="str">
            <v>337061S</v>
          </cell>
          <cell r="B373" t="str">
            <v>SMSub 69kV/13.2-20.8 25MVA</v>
          </cell>
        </row>
        <row r="374">
          <cell r="A374" t="str">
            <v>339061S</v>
          </cell>
          <cell r="B374" t="str">
            <v>69kV System Line Improv King</v>
          </cell>
        </row>
        <row r="375">
          <cell r="A375" t="str">
            <v>340061S</v>
          </cell>
          <cell r="B375" t="str">
            <v>Golden Valley 69kV tie King</v>
          </cell>
        </row>
        <row r="376">
          <cell r="A376" t="str">
            <v>342061S</v>
          </cell>
          <cell r="B376" t="str">
            <v>Charcas-Men 69kV 13.2kV Sub Kg</v>
          </cell>
        </row>
        <row r="377">
          <cell r="A377" t="str">
            <v>343061S</v>
          </cell>
          <cell r="B377" t="str">
            <v>N Stockton Hill 69kV Trs Ln Kg</v>
          </cell>
        </row>
        <row r="378">
          <cell r="A378" t="str">
            <v>350061A</v>
          </cell>
          <cell r="B378" t="str">
            <v>BMGS R&amp;B-KG</v>
          </cell>
        </row>
        <row r="379">
          <cell r="A379" t="str">
            <v>350062S</v>
          </cell>
          <cell r="B379" t="str">
            <v>North Havasu to BMS Redundant</v>
          </cell>
        </row>
        <row r="380">
          <cell r="A380" t="str">
            <v>350361A</v>
          </cell>
          <cell r="B380" t="str">
            <v>BMGS Specialized Tooling-KG</v>
          </cell>
        </row>
        <row r="381">
          <cell r="A381" t="str">
            <v>350461A</v>
          </cell>
          <cell r="B381" t="str">
            <v>Black Mtn ARC Flash Mitigation</v>
          </cell>
        </row>
        <row r="382">
          <cell r="A382" t="str">
            <v>350461B</v>
          </cell>
          <cell r="B382" t="str">
            <v>Blk Mtn Maint Bld HVAC</v>
          </cell>
        </row>
        <row r="383">
          <cell r="A383" t="str">
            <v>352062S</v>
          </cell>
          <cell r="B383" t="str">
            <v>N. Havasu Sub</v>
          </cell>
        </row>
        <row r="384">
          <cell r="A384" t="str">
            <v>353062S</v>
          </cell>
          <cell r="B384" t="str">
            <v>Kiowa Sub 13.2 kV Tie Breaker</v>
          </cell>
        </row>
        <row r="385">
          <cell r="A385" t="str">
            <v>354062S</v>
          </cell>
          <cell r="B385" t="str">
            <v>Desert Hills-Const 13.2 kv Sub</v>
          </cell>
        </row>
        <row r="386">
          <cell r="A386" t="str">
            <v>355062S</v>
          </cell>
          <cell r="B386" t="str">
            <v>New 13.2kv Feeders for New Sub</v>
          </cell>
        </row>
        <row r="387">
          <cell r="A387" t="str">
            <v>356062S</v>
          </cell>
          <cell r="B387" t="str">
            <v>UG Loop Feed on Island</v>
          </cell>
        </row>
        <row r="388">
          <cell r="A388" t="str">
            <v>357062S</v>
          </cell>
          <cell r="B388" t="str">
            <v>Const Franconia Sub &amp; Feeders</v>
          </cell>
        </row>
        <row r="389">
          <cell r="A389" t="str">
            <v>359061S</v>
          </cell>
          <cell r="B389" t="str">
            <v>So King Fdr Impr-Cir 5015 King</v>
          </cell>
        </row>
        <row r="390">
          <cell r="A390" t="str">
            <v>359062S</v>
          </cell>
          <cell r="B390" t="str">
            <v>Mulberry Diff Relay Add LH</v>
          </cell>
        </row>
        <row r="391">
          <cell r="A391" t="str">
            <v>360062S</v>
          </cell>
          <cell r="B391" t="str">
            <v>T3 Lond Brdg Sub &amp; Wall Expan</v>
          </cell>
        </row>
        <row r="392">
          <cell r="A392" t="str">
            <v>361061S</v>
          </cell>
          <cell r="B392" t="str">
            <v>Casson Sub 13.2 kV Tie Breaker</v>
          </cell>
        </row>
        <row r="393">
          <cell r="A393" t="str">
            <v>363061S</v>
          </cell>
          <cell r="B393" t="str">
            <v>Gold Val Fdr 8002 Recon.King</v>
          </cell>
        </row>
        <row r="394">
          <cell r="A394" t="str">
            <v>363062S</v>
          </cell>
          <cell r="B394" t="str">
            <v>Clearwater Fdr Add LH</v>
          </cell>
        </row>
        <row r="395">
          <cell r="A395" t="str">
            <v>363064A</v>
          </cell>
          <cell r="B395" t="str">
            <v>Canoa/Kantor Line</v>
          </cell>
        </row>
        <row r="396">
          <cell r="A396" t="str">
            <v>364062S</v>
          </cell>
          <cell r="B396" t="str">
            <v>Palo Verde Fdr Add LH</v>
          </cell>
        </row>
        <row r="397">
          <cell r="A397" t="str">
            <v>366064S</v>
          </cell>
          <cell r="B397" t="str">
            <v>Kantor 7203 OH to UG Nog</v>
          </cell>
        </row>
        <row r="398">
          <cell r="A398" t="str">
            <v>367061S</v>
          </cell>
          <cell r="B398" t="str">
            <v>Eastern Sub Fdr King</v>
          </cell>
        </row>
        <row r="399">
          <cell r="A399" t="str">
            <v>367064S</v>
          </cell>
          <cell r="B399" t="str">
            <v>Valencia to Son. Recond. Nog</v>
          </cell>
        </row>
        <row r="400">
          <cell r="A400" t="str">
            <v>367164S</v>
          </cell>
          <cell r="B400" t="str">
            <v>Valencia C-6241 Reconductor</v>
          </cell>
        </row>
        <row r="401">
          <cell r="A401" t="str">
            <v>368061S</v>
          </cell>
          <cell r="B401" t="str">
            <v>Eastern Transf T1 Repl King</v>
          </cell>
        </row>
        <row r="402">
          <cell r="A402" t="str">
            <v>368064S</v>
          </cell>
          <cell r="B402" t="str">
            <v>115kv Trans Line SwitchesNog</v>
          </cell>
        </row>
        <row r="403">
          <cell r="A403" t="str">
            <v>369062S</v>
          </cell>
          <cell r="B403" t="str">
            <v>Clrwtr 69/13.2kv T2 ad 33MVA</v>
          </cell>
        </row>
        <row r="404">
          <cell r="A404" t="str">
            <v>370061A</v>
          </cell>
          <cell r="B404" t="str">
            <v>Load Profile Meters</v>
          </cell>
        </row>
        <row r="405">
          <cell r="A405" t="str">
            <v>370061S</v>
          </cell>
          <cell r="B405" t="str">
            <v>Jagerson Sub Fdr King</v>
          </cell>
        </row>
        <row r="406">
          <cell r="A406" t="str">
            <v>370062A</v>
          </cell>
          <cell r="B406" t="str">
            <v>Load Profile Meters-LH</v>
          </cell>
        </row>
        <row r="407">
          <cell r="A407" t="str">
            <v>370062S</v>
          </cell>
          <cell r="B407" t="str">
            <v>P.V. 69/13.2kv T3 ad 47MVA</v>
          </cell>
        </row>
        <row r="408">
          <cell r="A408" t="str">
            <v>371061S</v>
          </cell>
          <cell r="B408" t="str">
            <v>Warm Spr Cir. 8012 Recon.Kg</v>
          </cell>
        </row>
        <row r="409">
          <cell r="A409" t="str">
            <v>371062S</v>
          </cell>
          <cell r="B409" t="str">
            <v>Kiowa T2 repl. 25MVA-47MVA- LH</v>
          </cell>
        </row>
        <row r="410">
          <cell r="A410" t="str">
            <v>371162A</v>
          </cell>
          <cell r="B410" t="str">
            <v>230 kV Breaker at Black Mesa</v>
          </cell>
        </row>
        <row r="411">
          <cell r="A411" t="str">
            <v>372061S</v>
          </cell>
          <cell r="B411" t="str">
            <v>Laughlin Ranch Sub King</v>
          </cell>
        </row>
        <row r="412">
          <cell r="A412" t="str">
            <v>372064A</v>
          </cell>
          <cell r="B412" t="str">
            <v>Rio Rico 138kV Switchyard</v>
          </cell>
        </row>
        <row r="413">
          <cell r="A413" t="str">
            <v>373061S</v>
          </cell>
          <cell r="B413" t="str">
            <v>White Hills Sub King</v>
          </cell>
        </row>
        <row r="414">
          <cell r="A414" t="str">
            <v>373062S</v>
          </cell>
          <cell r="B414" t="str">
            <v>N. PV 69kV Ext</v>
          </cell>
        </row>
        <row r="415">
          <cell r="A415" t="str">
            <v>373064A</v>
          </cell>
          <cell r="B415" t="str">
            <v>Rio Rico 138kV Trans Line</v>
          </cell>
        </row>
        <row r="416">
          <cell r="A416" t="str">
            <v>373161S</v>
          </cell>
          <cell r="B416" t="str">
            <v>Walnut Creek Substation</v>
          </cell>
        </row>
        <row r="417">
          <cell r="A417" t="str">
            <v>373164A</v>
          </cell>
          <cell r="B417" t="str">
            <v>Rio Rico 138kV Trans Line L&amp;E</v>
          </cell>
        </row>
        <row r="418">
          <cell r="A418" t="str">
            <v>373264A</v>
          </cell>
          <cell r="B418" t="str">
            <v>Sonoita Fdr Gtwy Rbld Ph1</v>
          </cell>
        </row>
        <row r="419">
          <cell r="A419" t="str">
            <v>373364A</v>
          </cell>
          <cell r="B419" t="str">
            <v>Sonoita Fdr Gtwy Rbld Ph2</v>
          </cell>
        </row>
        <row r="420">
          <cell r="A420" t="str">
            <v>374062S</v>
          </cell>
          <cell r="B420" t="str">
            <v>Replace 69kV Switches</v>
          </cell>
        </row>
        <row r="421">
          <cell r="A421" t="str">
            <v>374161S</v>
          </cell>
          <cell r="B421" t="str">
            <v>Meadview 69kV Line</v>
          </cell>
        </row>
        <row r="422">
          <cell r="A422" t="str">
            <v>375062S</v>
          </cell>
          <cell r="B422" t="str">
            <v>Mulberry FDR Addition</v>
          </cell>
        </row>
        <row r="423">
          <cell r="A423" t="str">
            <v>376062S</v>
          </cell>
          <cell r="B423" t="str">
            <v>Repl Kiowa Sub UG FDR Exits</v>
          </cell>
        </row>
        <row r="424">
          <cell r="A424" t="str">
            <v>379064S</v>
          </cell>
          <cell r="B424" t="str">
            <v>Vail to Nog Tap 138kV Line</v>
          </cell>
        </row>
        <row r="425">
          <cell r="A425" t="str">
            <v>379164A</v>
          </cell>
          <cell r="B425" t="str">
            <v>Nogales Tap to Kantor</v>
          </cell>
        </row>
        <row r="426">
          <cell r="A426" t="str">
            <v>379264A</v>
          </cell>
          <cell r="B426" t="str">
            <v>Nogales Tap to Kantor L&amp;E</v>
          </cell>
        </row>
        <row r="427">
          <cell r="A427" t="str">
            <v>379364A</v>
          </cell>
          <cell r="B427" t="str">
            <v>Line Extension to Valencia Sub</v>
          </cell>
        </row>
        <row r="428">
          <cell r="A428" t="str">
            <v>379464A</v>
          </cell>
          <cell r="B428" t="str">
            <v>Mobile Substation</v>
          </cell>
        </row>
        <row r="429">
          <cell r="A429" t="str">
            <v>379564A</v>
          </cell>
          <cell r="B429" t="str">
            <v>Rio Rico Area Mobile Install</v>
          </cell>
        </row>
        <row r="430">
          <cell r="A430" t="str">
            <v>380061B</v>
          </cell>
          <cell r="B430" t="str">
            <v>Dist Subst Replace King</v>
          </cell>
        </row>
        <row r="431">
          <cell r="A431" t="str">
            <v>380062A</v>
          </cell>
          <cell r="B431" t="str">
            <v>Dist Subst Bettr LH</v>
          </cell>
        </row>
        <row r="432">
          <cell r="A432" t="str">
            <v>380062B</v>
          </cell>
          <cell r="B432" t="str">
            <v>Dist Subst Replace LH</v>
          </cell>
        </row>
        <row r="433">
          <cell r="A433" t="str">
            <v>380064A</v>
          </cell>
          <cell r="B433" t="str">
            <v>Distrib Subst Bettr Nog</v>
          </cell>
        </row>
        <row r="434">
          <cell r="A434" t="str">
            <v>380064B</v>
          </cell>
          <cell r="B434" t="str">
            <v>Distrib Subst Replace Nog</v>
          </cell>
        </row>
        <row r="435">
          <cell r="A435" t="str">
            <v>380064S</v>
          </cell>
          <cell r="B435" t="str">
            <v>Vail T3 345/138kV Xfmr Add</v>
          </cell>
        </row>
        <row r="436">
          <cell r="A436" t="str">
            <v>38061A</v>
          </cell>
          <cell r="B436" t="str">
            <v>Dist Subst Bettr King</v>
          </cell>
        </row>
        <row r="437">
          <cell r="A437" t="str">
            <v>381062B</v>
          </cell>
          <cell r="B437" t="str">
            <v>Palo Verde Ring Bus Config</v>
          </cell>
        </row>
        <row r="438">
          <cell r="A438" t="str">
            <v>381062S</v>
          </cell>
          <cell r="B438" t="str">
            <v>Chenoweth-N PV 69kV ExtLH</v>
          </cell>
        </row>
        <row r="439">
          <cell r="A439" t="str">
            <v>381064A</v>
          </cell>
          <cell r="B439" t="str">
            <v>Santa Cruz Telephone Upgrades</v>
          </cell>
        </row>
        <row r="440">
          <cell r="A440" t="str">
            <v>381064B</v>
          </cell>
          <cell r="B440" t="str">
            <v>Mt. Hopkins Site Improvements</v>
          </cell>
        </row>
        <row r="441">
          <cell r="A441" t="str">
            <v>381064S</v>
          </cell>
          <cell r="B441" t="str">
            <v>Kantor Xfmr Rpl 115 to 138kV</v>
          </cell>
        </row>
        <row r="442">
          <cell r="A442" t="str">
            <v>382061A</v>
          </cell>
          <cell r="B442" t="str">
            <v>UNSE Telephone Upgrades</v>
          </cell>
        </row>
        <row r="443">
          <cell r="A443" t="str">
            <v>382061S</v>
          </cell>
          <cell r="B443" t="str">
            <v>Jagerson 69/13.2KV Xfmr T2</v>
          </cell>
        </row>
        <row r="444">
          <cell r="A444" t="str">
            <v>382062S</v>
          </cell>
          <cell r="B444" t="str">
            <v>Reconduct Is Fdr</v>
          </cell>
        </row>
        <row r="445">
          <cell r="A445" t="str">
            <v>382064A</v>
          </cell>
          <cell r="B445" t="str">
            <v>AMR Fixed Network Santa Cruz</v>
          </cell>
        </row>
        <row r="446">
          <cell r="A446" t="str">
            <v>382064S</v>
          </cell>
          <cell r="B446" t="str">
            <v>Canez Xfmr Rpl 115 to 138kV</v>
          </cell>
        </row>
        <row r="447">
          <cell r="A447" t="str">
            <v>382161S</v>
          </cell>
          <cell r="B447" t="str">
            <v>Yucca Sub T2 Addition (King)</v>
          </cell>
        </row>
        <row r="448">
          <cell r="A448" t="str">
            <v>382261S</v>
          </cell>
          <cell r="B448" t="str">
            <v>N Kingman Substation Rebuild</v>
          </cell>
        </row>
        <row r="449">
          <cell r="A449" t="str">
            <v>382361S</v>
          </cell>
          <cell r="B449" t="str">
            <v>South Kingman Substation Rebld</v>
          </cell>
        </row>
        <row r="450">
          <cell r="A450" t="str">
            <v>382461S</v>
          </cell>
          <cell r="B450" t="str">
            <v>Industrial Sub Rebuild</v>
          </cell>
        </row>
        <row r="451">
          <cell r="A451" t="str">
            <v>382561S</v>
          </cell>
          <cell r="B451" t="str">
            <v>Round Valley Sub</v>
          </cell>
        </row>
        <row r="452">
          <cell r="A452" t="str">
            <v>382861S</v>
          </cell>
          <cell r="B452" t="str">
            <v>Casson Sub Relay Upgrade</v>
          </cell>
        </row>
        <row r="453">
          <cell r="A453" t="str">
            <v>382961S</v>
          </cell>
          <cell r="B453" t="str">
            <v>New Shinarump Sub</v>
          </cell>
        </row>
        <row r="454">
          <cell r="A454" t="str">
            <v>383061A</v>
          </cell>
          <cell r="B454" t="str">
            <v>Remote Access Corp Ntwk</v>
          </cell>
        </row>
        <row r="455">
          <cell r="A455" t="str">
            <v>383062A</v>
          </cell>
          <cell r="B455" t="str">
            <v>Fiber Drop London Bridge Sub</v>
          </cell>
        </row>
        <row r="456">
          <cell r="A456" t="str">
            <v>383062S</v>
          </cell>
          <cell r="B456" t="str">
            <v>Distr/Trans Switches LH</v>
          </cell>
        </row>
        <row r="457">
          <cell r="A457" t="str">
            <v>383064A</v>
          </cell>
          <cell r="B457" t="str">
            <v>UNSE Valencia Turbine 4</v>
          </cell>
        </row>
        <row r="458">
          <cell r="A458" t="str">
            <v>383064B</v>
          </cell>
          <cell r="B458" t="str">
            <v>Valencia ICT Eltrc &amp; ARC Flash</v>
          </cell>
        </row>
        <row r="459">
          <cell r="A459" t="str">
            <v>383064S</v>
          </cell>
          <cell r="B459" t="str">
            <v>115kV Trans Line Repl (Nog)</v>
          </cell>
        </row>
        <row r="460">
          <cell r="A460" t="str">
            <v>383161S</v>
          </cell>
          <cell r="B460" t="str">
            <v>Meadview Area Substation</v>
          </cell>
        </row>
        <row r="461">
          <cell r="A461" t="str">
            <v>383162A</v>
          </cell>
          <cell r="B461" t="str">
            <v>96 ADSS Fiber Backhaul</v>
          </cell>
        </row>
        <row r="462">
          <cell r="A462" t="str">
            <v>384061A</v>
          </cell>
          <cell r="B462" t="str">
            <v>Dolan Springs Sub-Hwy 93 Fiber</v>
          </cell>
        </row>
        <row r="463">
          <cell r="A463" t="str">
            <v>384062S</v>
          </cell>
          <cell r="B463" t="str">
            <v>69kV Ext N PV Blvd-DsrtHlsLH</v>
          </cell>
        </row>
        <row r="464">
          <cell r="A464" t="str">
            <v>385061A</v>
          </cell>
          <cell r="B464" t="str">
            <v>Eastern Fiber Drop</v>
          </cell>
        </row>
        <row r="465">
          <cell r="A465" t="str">
            <v>385064A</v>
          </cell>
          <cell r="B465" t="str">
            <v>Struct &amp; Improv - New (Nog)</v>
          </cell>
        </row>
        <row r="466">
          <cell r="A466" t="str">
            <v>385162S</v>
          </cell>
          <cell r="B466" t="str">
            <v>Mulberry Sub Feeder Addition</v>
          </cell>
        </row>
        <row r="467">
          <cell r="A467" t="str">
            <v>385164A</v>
          </cell>
          <cell r="B467" t="str">
            <v>DO NOT USE-Nog Bld Land</v>
          </cell>
        </row>
        <row r="468">
          <cell r="A468" t="str">
            <v>385264A</v>
          </cell>
          <cell r="B468" t="str">
            <v>Nogales Building Land Purchase</v>
          </cell>
        </row>
        <row r="469">
          <cell r="A469" t="str">
            <v>386061A</v>
          </cell>
          <cell r="B469" t="str">
            <v>AMR Fixed Netwrk King and Hav</v>
          </cell>
        </row>
        <row r="470">
          <cell r="A470" t="str">
            <v>386064S</v>
          </cell>
          <cell r="B470" t="str">
            <v>Mariposa POE Reconduc-2.5 (NG)</v>
          </cell>
        </row>
        <row r="471">
          <cell r="A471" t="str">
            <v>387061A</v>
          </cell>
          <cell r="B471" t="str">
            <v>Hilltop Fiber Drop</v>
          </cell>
        </row>
        <row r="472">
          <cell r="A472" t="str">
            <v>387062A</v>
          </cell>
          <cell r="B472" t="str">
            <v>Install LM6000 Sacramento Subs</v>
          </cell>
        </row>
        <row r="473">
          <cell r="A473" t="str">
            <v>387062S</v>
          </cell>
          <cell r="B473" t="str">
            <v>Mulberry Xfmr Differential</v>
          </cell>
        </row>
        <row r="474">
          <cell r="A474" t="str">
            <v>387162B</v>
          </cell>
          <cell r="B474" t="str">
            <v>Replace T1 London Bridge</v>
          </cell>
        </row>
        <row r="475">
          <cell r="A475" t="str">
            <v>388061A</v>
          </cell>
          <cell r="B475" t="str">
            <v>Sitgreave Pass Recloser</v>
          </cell>
        </row>
        <row r="476">
          <cell r="A476" t="str">
            <v>388061S</v>
          </cell>
          <cell r="B476" t="str">
            <v>Emerald Isle Substation</v>
          </cell>
        </row>
        <row r="477">
          <cell r="A477" t="str">
            <v>389061B</v>
          </cell>
          <cell r="B477" t="str">
            <v>Silver Springs Recloser</v>
          </cell>
        </row>
        <row r="478">
          <cell r="A478" t="str">
            <v>389161B</v>
          </cell>
          <cell r="B478" t="str">
            <v>Griffith MCW Upgrade</v>
          </cell>
        </row>
        <row r="479">
          <cell r="A479" t="str">
            <v>389261B</v>
          </cell>
          <cell r="B479" t="str">
            <v>Oatman Brkr ENET &amp; RTU Upgrade</v>
          </cell>
        </row>
        <row r="480">
          <cell r="A480" t="str">
            <v>389361B</v>
          </cell>
          <cell r="B480" t="str">
            <v>Navajo ENET RTU Upgd</v>
          </cell>
        </row>
        <row r="481">
          <cell r="A481" t="str">
            <v>390062A</v>
          </cell>
          <cell r="B481" t="str">
            <v>Fiber Drop to Mulberry Sub</v>
          </cell>
        </row>
        <row r="482">
          <cell r="A482" t="str">
            <v>390064B</v>
          </cell>
          <cell r="B482" t="str">
            <v>Valencia Sub Circuit Sw1 Rplc</v>
          </cell>
        </row>
        <row r="483">
          <cell r="A483" t="str">
            <v>390262A</v>
          </cell>
          <cell r="B483" t="str">
            <v>Mulberry Feeder Land&amp;Permit</v>
          </cell>
        </row>
        <row r="484">
          <cell r="A484" t="str">
            <v>390362A</v>
          </cell>
          <cell r="B484" t="str">
            <v>Havasu Est D Line Land&amp;Permit</v>
          </cell>
        </row>
        <row r="485">
          <cell r="A485" t="str">
            <v>391064A</v>
          </cell>
          <cell r="B485" t="str">
            <v>Gateway 138kV 230kV Sub</v>
          </cell>
        </row>
        <row r="486">
          <cell r="A486" t="str">
            <v>391064B</v>
          </cell>
          <cell r="B486" t="str">
            <v>Sonoita Sub Circuit Sw1 Rplc</v>
          </cell>
        </row>
        <row r="487">
          <cell r="A487" t="str">
            <v>391064S</v>
          </cell>
          <cell r="B487" t="str">
            <v>Canez Sound Wall</v>
          </cell>
        </row>
        <row r="488">
          <cell r="A488" t="str">
            <v>391164A</v>
          </cell>
          <cell r="B488" t="str">
            <v>Kantor 138kV Cap Bank Addn</v>
          </cell>
        </row>
        <row r="489">
          <cell r="A489" t="str">
            <v>392062B</v>
          </cell>
          <cell r="B489" t="str">
            <v>Island Feeder Replace</v>
          </cell>
        </row>
        <row r="490">
          <cell r="A490" t="str">
            <v>392064B</v>
          </cell>
          <cell r="B490" t="str">
            <v>Valencia T1 Replacement</v>
          </cell>
        </row>
        <row r="491">
          <cell r="A491" t="str">
            <v>392064S</v>
          </cell>
          <cell r="B491" t="str">
            <v>Vail to Valencia 138kVLn-L&amp;E</v>
          </cell>
        </row>
        <row r="492">
          <cell r="A492" t="str">
            <v>392164B</v>
          </cell>
          <cell r="B492" t="str">
            <v>UNSE Distribu Sub Repl &amp; Bett</v>
          </cell>
        </row>
        <row r="493">
          <cell r="A493" t="str">
            <v>393061S</v>
          </cell>
          <cell r="B493" t="str">
            <v>Harrison St 69kV Line Rebuild</v>
          </cell>
        </row>
        <row r="494">
          <cell r="A494" t="str">
            <v>393062B</v>
          </cell>
          <cell r="B494" t="str">
            <v>North Havasu RTU Rplc</v>
          </cell>
        </row>
        <row r="495">
          <cell r="A495" t="str">
            <v>393062S</v>
          </cell>
          <cell r="B495" t="str">
            <v>Centre Mall Lp 6033-34 Fdr LH</v>
          </cell>
        </row>
        <row r="496">
          <cell r="A496" t="str">
            <v>393064A</v>
          </cell>
          <cell r="B496" t="str">
            <v>Valencia Sub Brk Replace III</v>
          </cell>
        </row>
        <row r="497">
          <cell r="A497" t="str">
            <v>394061S</v>
          </cell>
          <cell r="B497" t="str">
            <v>69kV Tie to Western Wind</v>
          </cell>
        </row>
        <row r="498">
          <cell r="A498" t="str">
            <v>394062S</v>
          </cell>
          <cell r="B498" t="str">
            <v>N Havasu Sub T3 Addition LH</v>
          </cell>
        </row>
        <row r="499">
          <cell r="A499" t="str">
            <v>394064A</v>
          </cell>
          <cell r="B499" t="str">
            <v>Valencia Sub Brk Replace IV</v>
          </cell>
        </row>
        <row r="500">
          <cell r="A500" t="str">
            <v>394161S</v>
          </cell>
          <cell r="B500" t="str">
            <v>Western Wind 69kV Sect Brkrs</v>
          </cell>
        </row>
        <row r="501">
          <cell r="A501" t="str">
            <v>395162B</v>
          </cell>
          <cell r="B501" t="str">
            <v>Yucca Breaker Installations</v>
          </cell>
        </row>
        <row r="502">
          <cell r="A502" t="str">
            <v>396061A</v>
          </cell>
          <cell r="B502" t="str">
            <v>Wa Springs &amp; Bound Cne RTU Rep</v>
          </cell>
        </row>
        <row r="503">
          <cell r="A503" t="str">
            <v>396161B</v>
          </cell>
          <cell r="B503" t="str">
            <v>Charcas Mendez ENET RTU Upgs</v>
          </cell>
        </row>
        <row r="504">
          <cell r="A504" t="str">
            <v>396161S</v>
          </cell>
          <cell r="B504" t="str">
            <v>Griffith 152-352 Tie Switch</v>
          </cell>
        </row>
        <row r="505">
          <cell r="A505" t="str">
            <v>396261B</v>
          </cell>
          <cell r="B505" t="str">
            <v>Industrial Sub Fiber RTU Upgd</v>
          </cell>
        </row>
        <row r="506">
          <cell r="A506" t="str">
            <v>396361B</v>
          </cell>
          <cell r="B506" t="str">
            <v>Hilltop RTU Replacement</v>
          </cell>
        </row>
        <row r="507">
          <cell r="A507" t="str">
            <v>396461A</v>
          </cell>
          <cell r="B507" t="str">
            <v>Getz to Oatman Peak MCW</v>
          </cell>
        </row>
        <row r="508">
          <cell r="A508" t="str">
            <v>396561B</v>
          </cell>
          <cell r="B508" t="str">
            <v>Black Mtn to Mercator MCW Upgd</v>
          </cell>
        </row>
        <row r="509">
          <cell r="A509" t="str">
            <v>396761B</v>
          </cell>
          <cell r="B509" t="str">
            <v>W Golden Valley ENET/RTU Upgd</v>
          </cell>
        </row>
        <row r="510">
          <cell r="A510" t="str">
            <v>396861A</v>
          </cell>
          <cell r="B510" t="str">
            <v>Yucca Fiber Drop</v>
          </cell>
        </row>
        <row r="511">
          <cell r="A511" t="str">
            <v>396861B</v>
          </cell>
          <cell r="B511" t="str">
            <v>Western Wind ENET/RTU Upgd</v>
          </cell>
        </row>
        <row r="512">
          <cell r="A512" t="str">
            <v>396961B</v>
          </cell>
          <cell r="B512" t="str">
            <v>SCADA TCP IP KGM Ph II</v>
          </cell>
        </row>
        <row r="513">
          <cell r="A513" t="str">
            <v>397062S</v>
          </cell>
          <cell r="B513" t="str">
            <v>Circuit 6008 Recondctr</v>
          </cell>
        </row>
        <row r="514">
          <cell r="A514" t="str">
            <v>397161S</v>
          </cell>
          <cell r="B514" t="str">
            <v>Chloride - Pierce Ferry OPGW</v>
          </cell>
        </row>
        <row r="515">
          <cell r="A515" t="str">
            <v>397261A</v>
          </cell>
          <cell r="B515" t="str">
            <v>SCADA TCP/IP Ph III UES</v>
          </cell>
        </row>
        <row r="516">
          <cell r="A516" t="str">
            <v>397261B</v>
          </cell>
          <cell r="B516" t="str">
            <v>UNSE Redline Radio Rplcs</v>
          </cell>
        </row>
        <row r="517">
          <cell r="A517" t="str">
            <v>397361B</v>
          </cell>
          <cell r="B517" t="str">
            <v>UNSE P25 Core Systems Upgrade</v>
          </cell>
        </row>
        <row r="518">
          <cell r="A518" t="str">
            <v>397461A</v>
          </cell>
          <cell r="B518" t="str">
            <v>UNSE P25 Radio Land &amp; Permit</v>
          </cell>
        </row>
        <row r="519">
          <cell r="A519" t="str">
            <v>397461B</v>
          </cell>
          <cell r="B519" t="str">
            <v>SCADA TCP/IP Ph IV UES</v>
          </cell>
        </row>
        <row r="520">
          <cell r="A520" t="str">
            <v>397561B</v>
          </cell>
          <cell r="B520" t="str">
            <v>Dolan Springs T1 Xfmr Rplc</v>
          </cell>
        </row>
        <row r="521">
          <cell r="A521" t="str">
            <v>397661B</v>
          </cell>
          <cell r="B521" t="str">
            <v>Meadview 69kV Land &amp; Permits</v>
          </cell>
        </row>
        <row r="522">
          <cell r="A522" t="str">
            <v>397761B</v>
          </cell>
          <cell r="B522" t="str">
            <v>2022 ND UNSE Storage Refresh</v>
          </cell>
        </row>
        <row r="523">
          <cell r="A523" t="str">
            <v>397861B</v>
          </cell>
          <cell r="B523" t="str">
            <v>La Senita Solar Inverter Rpl</v>
          </cell>
        </row>
        <row r="524">
          <cell r="A524" t="str">
            <v>398061A</v>
          </cell>
          <cell r="B524" t="str">
            <v>Griffith T2 Add 230-69kV</v>
          </cell>
        </row>
        <row r="525">
          <cell r="A525" t="str">
            <v>398062S</v>
          </cell>
          <cell r="B525" t="str">
            <v>Feeder Tie 6010-6018 (LH)</v>
          </cell>
        </row>
        <row r="526">
          <cell r="A526" t="str">
            <v>398064A</v>
          </cell>
          <cell r="B526" t="str">
            <v>4 I-19 Crossings Wd-Stl Ple</v>
          </cell>
        </row>
        <row r="527">
          <cell r="A527" t="str">
            <v>398161A</v>
          </cell>
          <cell r="B527" t="str">
            <v>Origin Mine Cap Bank Addition</v>
          </cell>
        </row>
        <row r="528">
          <cell r="A528" t="str">
            <v>398261A</v>
          </cell>
          <cell r="B528" t="str">
            <v>Meadview Sub Land &amp; Permitting</v>
          </cell>
        </row>
        <row r="529">
          <cell r="A529" t="str">
            <v>398361A</v>
          </cell>
          <cell r="B529" t="str">
            <v>Golden Valley 230kV Land &amp; Env</v>
          </cell>
        </row>
        <row r="530">
          <cell r="A530" t="str">
            <v>399064A</v>
          </cell>
          <cell r="B530" t="str">
            <v>Mariposa N Ind Prk II Recond</v>
          </cell>
        </row>
        <row r="531">
          <cell r="A531" t="str">
            <v>399161S</v>
          </cell>
          <cell r="B531" t="str">
            <v>Hilltop Tap for AEPCO</v>
          </cell>
        </row>
        <row r="532">
          <cell r="A532" t="str">
            <v>399162S</v>
          </cell>
          <cell r="B532" t="str">
            <v>Repl Direct Buried UG</v>
          </cell>
        </row>
        <row r="533">
          <cell r="A533" t="str">
            <v>399364A</v>
          </cell>
          <cell r="B533" t="str">
            <v>Nog Texas Properties Type 4</v>
          </cell>
        </row>
        <row r="534">
          <cell r="A534" t="str">
            <v>399364B</v>
          </cell>
          <cell r="B534" t="str">
            <v>Rio Rico Solar Lease Land</v>
          </cell>
        </row>
        <row r="535">
          <cell r="A535" t="str">
            <v>399462S</v>
          </cell>
          <cell r="B535" t="str">
            <v>Broadwater Drain Pole Repl</v>
          </cell>
        </row>
        <row r="536">
          <cell r="A536" t="str">
            <v>3EIM60A</v>
          </cell>
          <cell r="B536" t="str">
            <v>UNSE Meter Repl (EIM)</v>
          </cell>
        </row>
        <row r="537">
          <cell r="A537" t="str">
            <v>3EIM65A</v>
          </cell>
          <cell r="B537" t="str">
            <v>UNSE Meter Repl VPP (EIM)</v>
          </cell>
        </row>
        <row r="538">
          <cell r="A538" t="str">
            <v>3EIM66A</v>
          </cell>
          <cell r="B538" t="str">
            <v>UNSE Meter Replace BMGS (EIM)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Manual Entries"/>
      <sheetName val="2. NBV of T4 Depr Groups"/>
      <sheetName val="3. CPR Assets to be Retired"/>
      <sheetName val="Retire T4 Asset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S Input"/>
      <sheetName val="Input Data"/>
      <sheetName val="Input Tables"/>
      <sheetName val="Parameters"/>
      <sheetName val="NS Parameters"/>
      <sheetName val="Two-Part Rates"/>
      <sheetName val="Two-Part Accruals"/>
      <sheetName val="VGRL Rates"/>
      <sheetName val="VGRL Accruals"/>
      <sheetName val="VGWL Rates"/>
      <sheetName val="VGWL Accruals"/>
      <sheetName val="Reserves"/>
      <sheetName val="Two-Part Reserves"/>
      <sheetName val="Net Salvage"/>
      <sheetName val="Dismantlement"/>
      <sheetName val="Fut. Net Sal."/>
      <sheetName val="Summary"/>
      <sheetName val="Summary Two-Part Rates"/>
      <sheetName val="Exhibit Table 1"/>
      <sheetName val="Exhibit Tables"/>
      <sheetName val="Combined Rates"/>
    </sheetNames>
    <sheetDataSet>
      <sheetData sheetId="0">
        <row r="1">
          <cell r="A1" t="str">
            <v>Account_ID</v>
          </cell>
          <cell r="B1" t="str">
            <v>Account_Label</v>
          </cell>
          <cell r="C1" t="str">
            <v>Account_Name</v>
          </cell>
          <cell r="D1" t="str">
            <v>Survivors</v>
          </cell>
          <cell r="E1" t="str">
            <v>DerivedAdditions</v>
          </cell>
          <cell r="F1" t="str">
            <v>TheoNetPlant</v>
          </cell>
          <cell r="G1" t="str">
            <v>Procedure</v>
          </cell>
          <cell r="H1" t="str">
            <v>PLife</v>
          </cell>
          <cell r="I1" t="str">
            <v>PCurve</v>
          </cell>
          <cell r="J1" t="str">
            <v>ASL</v>
          </cell>
          <cell r="K1" t="str">
            <v>RL</v>
          </cell>
          <cell r="L1" t="str">
            <v>RlzdNSRate</v>
          </cell>
          <cell r="M1" t="str">
            <v>FutInterimNSRate</v>
          </cell>
          <cell r="N1" t="str">
            <v>FinalNSRate</v>
          </cell>
          <cell r="O1" t="str">
            <v>FutureNSRate</v>
          </cell>
          <cell r="P1" t="str">
            <v>AverageNSRate</v>
          </cell>
          <cell r="Q1" t="str">
            <v>AvgAge</v>
          </cell>
          <cell r="R1" t="str">
            <v>AYFR</v>
          </cell>
          <cell r="S1" t="str">
            <v>InterimRetirements</v>
          </cell>
          <cell r="T1" t="str">
            <v>RlzdUnAdjGrossRate</v>
          </cell>
          <cell r="U1" t="str">
            <v>RlzdUnAdjRemovalRate</v>
          </cell>
          <cell r="V1" t="str">
            <v>RlzdAdjGrossRate</v>
          </cell>
          <cell r="W1" t="str">
            <v>RlzdAdjRemovalRate</v>
          </cell>
          <cell r="X1" t="str">
            <v>RlzdAdjNSRate</v>
          </cell>
          <cell r="Y1" t="str">
            <v>NSAllowRate</v>
          </cell>
          <cell r="Z1" t="str">
            <v>ParamDate</v>
          </cell>
          <cell r="AA1" t="str">
            <v>Recorded Reserve</v>
          </cell>
          <cell r="AB1" t="str">
            <v>Redistributed Reserve</v>
          </cell>
          <cell r="AC1" t="str">
            <v>ARC</v>
          </cell>
          <cell r="AD1" t="str">
            <v>ARO</v>
          </cell>
          <cell r="AE1" t="str">
            <v>ARC_SL_Reserve</v>
          </cell>
          <cell r="AF1" t="str">
            <v>WLAccrual</v>
          </cell>
          <cell r="AG1" t="str">
            <v>RLAccrual</v>
          </cell>
        </row>
        <row r="2">
          <cell r="A2" t="str">
            <v>31100FCN004</v>
          </cell>
          <cell r="B2" t="str">
            <v>311.00</v>
          </cell>
          <cell r="C2" t="str">
            <v>Structures and Improvements</v>
          </cell>
          <cell r="D2">
            <v>3397513</v>
          </cell>
          <cell r="E2">
            <v>3866739</v>
          </cell>
          <cell r="F2">
            <v>1943472</v>
          </cell>
          <cell r="G2" t="str">
            <v>VG</v>
          </cell>
          <cell r="H2">
            <v>200</v>
          </cell>
          <cell r="I2" t="str">
            <v>SC</v>
          </cell>
          <cell r="J2">
            <v>15.76</v>
          </cell>
          <cell r="K2">
            <v>9.39</v>
          </cell>
          <cell r="L2">
            <v>-0.2</v>
          </cell>
          <cell r="M2">
            <v>-10</v>
          </cell>
          <cell r="N2">
            <v>-4.9000000000000004</v>
          </cell>
          <cell r="O2">
            <v>-5</v>
          </cell>
          <cell r="P2">
            <v>-4.4000000000000004</v>
          </cell>
          <cell r="Q2">
            <v>10.7</v>
          </cell>
          <cell r="R2">
            <v>2031</v>
          </cell>
          <cell r="S2">
            <v>78635.003100000002</v>
          </cell>
          <cell r="T2">
            <v>0</v>
          </cell>
          <cell r="U2">
            <v>0.2</v>
          </cell>
          <cell r="V2">
            <v>0</v>
          </cell>
          <cell r="W2">
            <v>0.2</v>
          </cell>
          <cell r="X2">
            <v>-0.2</v>
          </cell>
          <cell r="Y2">
            <v>0</v>
          </cell>
          <cell r="Z2">
            <v>44561</v>
          </cell>
          <cell r="AA2">
            <v>1110503.1839999999</v>
          </cell>
          <cell r="AB2">
            <v>1376464.0331999999</v>
          </cell>
          <cell r="AC2">
            <v>7863.5001000000002</v>
          </cell>
          <cell r="AD2">
            <v>7863.5001000000002</v>
          </cell>
          <cell r="AE2">
            <v>3232.5989</v>
          </cell>
          <cell r="AF2">
            <v>224915.36060000001</v>
          </cell>
          <cell r="AG2">
            <v>233409.14309999999</v>
          </cell>
        </row>
        <row r="3">
          <cell r="A3" t="str">
            <v>31200FCN004</v>
          </cell>
          <cell r="B3" t="str">
            <v>312.00</v>
          </cell>
          <cell r="C3" t="str">
            <v>Boiler Plant Equipment</v>
          </cell>
          <cell r="D3">
            <v>76589351</v>
          </cell>
          <cell r="E3">
            <v>85355825</v>
          </cell>
          <cell r="F3">
            <v>39787007</v>
          </cell>
          <cell r="G3" t="str">
            <v>VG</v>
          </cell>
          <cell r="H3">
            <v>200</v>
          </cell>
          <cell r="I3" t="str">
            <v>SC</v>
          </cell>
          <cell r="J3">
            <v>17.489999999999998</v>
          </cell>
          <cell r="K3">
            <v>9.3800000000000008</v>
          </cell>
          <cell r="L3">
            <v>-16</v>
          </cell>
          <cell r="M3">
            <v>-5</v>
          </cell>
          <cell r="N3">
            <v>-4.9000000000000004</v>
          </cell>
          <cell r="O3">
            <v>-4.9000000000000004</v>
          </cell>
          <cell r="P3">
            <v>-6</v>
          </cell>
          <cell r="Q3">
            <v>16.399999999999999</v>
          </cell>
          <cell r="R3">
            <v>2031</v>
          </cell>
          <cell r="S3">
            <v>1800392.0115</v>
          </cell>
          <cell r="T3">
            <v>0.6</v>
          </cell>
          <cell r="U3">
            <v>16.600000000000001</v>
          </cell>
          <cell r="V3">
            <v>0.6</v>
          </cell>
          <cell r="W3">
            <v>16.600000000000001</v>
          </cell>
          <cell r="X3">
            <v>-16</v>
          </cell>
          <cell r="Y3">
            <v>0</v>
          </cell>
          <cell r="Z3">
            <v>44561</v>
          </cell>
          <cell r="AA3">
            <v>35161341.0713</v>
          </cell>
          <cell r="AB3">
            <v>34838847.335699998</v>
          </cell>
          <cell r="AC3">
            <v>90019.600300000006</v>
          </cell>
          <cell r="AD3">
            <v>90019.600300000006</v>
          </cell>
          <cell r="AE3">
            <v>42701.931199999999</v>
          </cell>
          <cell r="AF3">
            <v>4641314.6705999998</v>
          </cell>
          <cell r="AG3">
            <v>4848105.9183</v>
          </cell>
        </row>
        <row r="4">
          <cell r="A4" t="str">
            <v>31400FCN004</v>
          </cell>
          <cell r="B4" t="str">
            <v>314.00</v>
          </cell>
          <cell r="C4" t="str">
            <v>Turbogenerator Units</v>
          </cell>
          <cell r="D4">
            <v>10815830</v>
          </cell>
          <cell r="E4">
            <v>12884290</v>
          </cell>
          <cell r="F4">
            <v>5151578</v>
          </cell>
          <cell r="G4" t="str">
            <v>VG</v>
          </cell>
          <cell r="H4">
            <v>200</v>
          </cell>
          <cell r="I4" t="str">
            <v>SC</v>
          </cell>
          <cell r="J4">
            <v>18.91</v>
          </cell>
          <cell r="K4">
            <v>9.3800000000000008</v>
          </cell>
          <cell r="L4">
            <v>-11.4</v>
          </cell>
          <cell r="M4">
            <v>-5</v>
          </cell>
          <cell r="N4">
            <v>-4.9000000000000004</v>
          </cell>
          <cell r="O4">
            <v>-4.9000000000000004</v>
          </cell>
          <cell r="P4">
            <v>-5.9</v>
          </cell>
          <cell r="Q4">
            <v>16.399999999999999</v>
          </cell>
          <cell r="R4">
            <v>2031</v>
          </cell>
          <cell r="S4">
            <v>254129.51430000001</v>
          </cell>
          <cell r="T4">
            <v>0</v>
          </cell>
          <cell r="U4">
            <v>11.4</v>
          </cell>
          <cell r="V4">
            <v>0</v>
          </cell>
          <cell r="W4">
            <v>11.4</v>
          </cell>
          <cell r="X4">
            <v>-11.4</v>
          </cell>
          <cell r="Y4">
            <v>0</v>
          </cell>
          <cell r="Z4">
            <v>44561</v>
          </cell>
          <cell r="AA4">
            <v>5087841.8030000003</v>
          </cell>
          <cell r="AB4">
            <v>5362050.0070000002</v>
          </cell>
          <cell r="AC4">
            <v>12706.475700000001</v>
          </cell>
          <cell r="AD4">
            <v>12706.475700000001</v>
          </cell>
          <cell r="AE4">
            <v>6497.4166999999998</v>
          </cell>
          <cell r="AF4">
            <v>605686.48</v>
          </cell>
          <cell r="AG4">
            <v>638133.97</v>
          </cell>
        </row>
        <row r="5">
          <cell r="A5" t="str">
            <v>31500FCN004</v>
          </cell>
          <cell r="B5" t="str">
            <v>315.00</v>
          </cell>
          <cell r="C5" t="str">
            <v>Accessory Electric Equipment</v>
          </cell>
          <cell r="D5">
            <v>4007805</v>
          </cell>
          <cell r="E5">
            <v>4763842</v>
          </cell>
          <cell r="F5">
            <v>2246027</v>
          </cell>
          <cell r="G5" t="str">
            <v>VG</v>
          </cell>
          <cell r="H5">
            <v>200</v>
          </cell>
          <cell r="I5" t="str">
            <v>SC</v>
          </cell>
          <cell r="J5">
            <v>16.04</v>
          </cell>
          <cell r="K5">
            <v>9.39</v>
          </cell>
          <cell r="L5">
            <v>-0.1</v>
          </cell>
          <cell r="M5">
            <v>-5</v>
          </cell>
          <cell r="N5">
            <v>-4.9000000000000004</v>
          </cell>
          <cell r="O5">
            <v>-4.9000000000000004</v>
          </cell>
          <cell r="P5">
            <v>-4.0999999999999996</v>
          </cell>
          <cell r="Q5">
            <v>10.1</v>
          </cell>
          <cell r="R5">
            <v>2031</v>
          </cell>
          <cell r="S5">
            <v>92602.631399999998</v>
          </cell>
          <cell r="T5">
            <v>0</v>
          </cell>
          <cell r="U5">
            <v>0.1</v>
          </cell>
          <cell r="V5">
            <v>0</v>
          </cell>
          <cell r="W5">
            <v>0.1</v>
          </cell>
          <cell r="X5">
            <v>-0.1</v>
          </cell>
          <cell r="Y5">
            <v>0</v>
          </cell>
          <cell r="Z5">
            <v>44561</v>
          </cell>
          <cell r="AA5">
            <v>1705397.12</v>
          </cell>
          <cell r="AB5">
            <v>1667782.4044999999</v>
          </cell>
          <cell r="AC5">
            <v>4630.1315999999997</v>
          </cell>
          <cell r="AD5">
            <v>4630.1315999999997</v>
          </cell>
          <cell r="AE5">
            <v>1943.0187000000001</v>
          </cell>
          <cell r="AF5">
            <v>260106.54449999999</v>
          </cell>
          <cell r="AG5">
            <v>270126.05699999997</v>
          </cell>
        </row>
        <row r="6">
          <cell r="A6" t="str">
            <v>31600FCN004</v>
          </cell>
          <cell r="B6" t="str">
            <v>316.00</v>
          </cell>
          <cell r="C6" t="str">
            <v>Miscellaneous Power Plant Equip.</v>
          </cell>
          <cell r="D6">
            <v>2513794</v>
          </cell>
          <cell r="E6">
            <v>2783003</v>
          </cell>
          <cell r="F6">
            <v>968153</v>
          </cell>
          <cell r="G6" t="str">
            <v>VG</v>
          </cell>
          <cell r="H6">
            <v>200</v>
          </cell>
          <cell r="I6" t="str">
            <v>SC</v>
          </cell>
          <cell r="J6">
            <v>22.6</v>
          </cell>
          <cell r="K6">
            <v>9.3800000000000008</v>
          </cell>
          <cell r="L6">
            <v>-2.2000000000000002</v>
          </cell>
          <cell r="M6">
            <v>-5</v>
          </cell>
          <cell r="N6">
            <v>-4.9000000000000004</v>
          </cell>
          <cell r="O6">
            <v>-4.9000000000000004</v>
          </cell>
          <cell r="P6">
            <v>-4.5999999999999996</v>
          </cell>
          <cell r="Q6">
            <v>17.2</v>
          </cell>
          <cell r="R6">
            <v>2031</v>
          </cell>
          <cell r="S6">
            <v>59146.619899999998</v>
          </cell>
          <cell r="T6">
            <v>0</v>
          </cell>
          <cell r="U6">
            <v>2.2000000000000002</v>
          </cell>
          <cell r="V6">
            <v>0</v>
          </cell>
          <cell r="W6">
            <v>2.2000000000000002</v>
          </cell>
          <cell r="X6">
            <v>-2.2000000000000002</v>
          </cell>
          <cell r="Y6">
            <v>0</v>
          </cell>
          <cell r="Z6">
            <v>44561</v>
          </cell>
          <cell r="AA6">
            <v>1643237.56</v>
          </cell>
          <cell r="AB6">
            <v>1463176.9579</v>
          </cell>
          <cell r="AC6">
            <v>2957.3308999999999</v>
          </cell>
          <cell r="AD6">
            <v>2957.3308999999999</v>
          </cell>
          <cell r="AE6">
            <v>1741.1269</v>
          </cell>
          <cell r="AF6">
            <v>116388.66220000001</v>
          </cell>
          <cell r="AG6">
            <v>125186.9412</v>
          </cell>
        </row>
        <row r="7">
          <cell r="A7" t="str">
            <v>31100FCN005</v>
          </cell>
          <cell r="B7" t="str">
            <v>311.00</v>
          </cell>
          <cell r="C7" t="str">
            <v>Structures and Improvements</v>
          </cell>
          <cell r="D7">
            <v>3100332</v>
          </cell>
          <cell r="E7">
            <v>3527704</v>
          </cell>
          <cell r="F7">
            <v>1739517</v>
          </cell>
          <cell r="G7" t="str">
            <v>VG</v>
          </cell>
          <cell r="H7">
            <v>200</v>
          </cell>
          <cell r="I7" t="str">
            <v>SC</v>
          </cell>
          <cell r="J7">
            <v>16.010000000000002</v>
          </cell>
          <cell r="K7">
            <v>9.39</v>
          </cell>
          <cell r="L7">
            <v>-0.2</v>
          </cell>
          <cell r="M7">
            <v>-10</v>
          </cell>
          <cell r="N7">
            <v>-5.2</v>
          </cell>
          <cell r="O7">
            <v>-5.3</v>
          </cell>
          <cell r="P7">
            <v>-4.7</v>
          </cell>
          <cell r="Q7">
            <v>11.5</v>
          </cell>
          <cell r="R7">
            <v>2031</v>
          </cell>
          <cell r="S7">
            <v>71902.522700000001</v>
          </cell>
          <cell r="T7">
            <v>0</v>
          </cell>
          <cell r="U7">
            <v>0.2</v>
          </cell>
          <cell r="V7">
            <v>0</v>
          </cell>
          <cell r="W7">
            <v>0.2</v>
          </cell>
          <cell r="X7">
            <v>-0.2</v>
          </cell>
          <cell r="Y7">
            <v>0</v>
          </cell>
          <cell r="Z7">
            <v>44561</v>
          </cell>
          <cell r="AA7">
            <v>1025137.8907</v>
          </cell>
          <cell r="AB7">
            <v>1180221.5042000001</v>
          </cell>
          <cell r="AC7">
            <v>7190.2524999999996</v>
          </cell>
          <cell r="AD7">
            <v>7190.2524999999996</v>
          </cell>
          <cell r="AE7">
            <v>3026.0677000000001</v>
          </cell>
          <cell r="AF7">
            <v>202761.71280000001</v>
          </cell>
          <cell r="AG7">
            <v>221983.77119999999</v>
          </cell>
        </row>
        <row r="8">
          <cell r="A8" t="str">
            <v>31200FCN005</v>
          </cell>
          <cell r="B8" t="str">
            <v>312.00</v>
          </cell>
          <cell r="C8" t="str">
            <v>Boiler Plant Equipment</v>
          </cell>
          <cell r="D8">
            <v>72077211</v>
          </cell>
          <cell r="E8">
            <v>80813030</v>
          </cell>
          <cell r="F8">
            <v>38007280</v>
          </cell>
          <cell r="G8" t="str">
            <v>VG</v>
          </cell>
          <cell r="H8">
            <v>200</v>
          </cell>
          <cell r="I8" t="str">
            <v>SC</v>
          </cell>
          <cell r="J8">
            <v>17.23</v>
          </cell>
          <cell r="K8">
            <v>9.39</v>
          </cell>
          <cell r="L8">
            <v>-15.4</v>
          </cell>
          <cell r="M8">
            <v>-5</v>
          </cell>
          <cell r="N8">
            <v>-5.2</v>
          </cell>
          <cell r="O8">
            <v>-5.2</v>
          </cell>
          <cell r="P8">
            <v>-6.3</v>
          </cell>
          <cell r="Q8">
            <v>15.5</v>
          </cell>
          <cell r="R8">
            <v>2031</v>
          </cell>
          <cell r="S8">
            <v>1690066.0185</v>
          </cell>
          <cell r="T8">
            <v>0.6</v>
          </cell>
          <cell r="U8">
            <v>16</v>
          </cell>
          <cell r="V8">
            <v>0.6</v>
          </cell>
          <cell r="W8">
            <v>16</v>
          </cell>
          <cell r="X8">
            <v>-15.4</v>
          </cell>
          <cell r="Y8">
            <v>0</v>
          </cell>
          <cell r="Z8">
            <v>44561</v>
          </cell>
          <cell r="AA8">
            <v>29452793.514600001</v>
          </cell>
          <cell r="AB8">
            <v>29548510.6908</v>
          </cell>
          <cell r="AC8">
            <v>84503.300600000002</v>
          </cell>
          <cell r="AD8">
            <v>84503.300600000002</v>
          </cell>
          <cell r="AE8">
            <v>39366.512900000002</v>
          </cell>
          <cell r="AF8">
            <v>4447163.9187000003</v>
          </cell>
          <cell r="AG8">
            <v>4930081.2324000001</v>
          </cell>
        </row>
        <row r="9">
          <cell r="A9" t="str">
            <v>31400FCN005</v>
          </cell>
          <cell r="B9" t="str">
            <v>314.00</v>
          </cell>
          <cell r="C9" t="str">
            <v>Turbogenerator Units</v>
          </cell>
          <cell r="D9">
            <v>9123221</v>
          </cell>
          <cell r="E9">
            <v>10252134</v>
          </cell>
          <cell r="F9">
            <v>4335496</v>
          </cell>
          <cell r="G9" t="str">
            <v>VG</v>
          </cell>
          <cell r="H9">
            <v>200</v>
          </cell>
          <cell r="I9" t="str">
            <v>SC</v>
          </cell>
          <cell r="J9">
            <v>18.61</v>
          </cell>
          <cell r="K9">
            <v>9.3800000000000008</v>
          </cell>
          <cell r="L9">
            <v>0</v>
          </cell>
          <cell r="M9">
            <v>-5</v>
          </cell>
          <cell r="N9">
            <v>-5.2</v>
          </cell>
          <cell r="O9">
            <v>-5.2</v>
          </cell>
          <cell r="P9">
            <v>-4.5999999999999996</v>
          </cell>
          <cell r="Q9">
            <v>15.5</v>
          </cell>
          <cell r="R9">
            <v>2031</v>
          </cell>
          <cell r="S9">
            <v>213900.6005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44561</v>
          </cell>
          <cell r="AA9">
            <v>4031581.463</v>
          </cell>
          <cell r="AB9">
            <v>4152346.1782999998</v>
          </cell>
          <cell r="AC9">
            <v>10695.03</v>
          </cell>
          <cell r="AD9">
            <v>10695.03</v>
          </cell>
          <cell r="AE9">
            <v>5387.1423999999997</v>
          </cell>
          <cell r="AF9">
            <v>512725.02020000003</v>
          </cell>
          <cell r="AG9">
            <v>580236.85560000001</v>
          </cell>
        </row>
        <row r="10">
          <cell r="A10" t="str">
            <v>31500FCN005</v>
          </cell>
          <cell r="B10" t="str">
            <v>315.00</v>
          </cell>
          <cell r="C10" t="str">
            <v>Accessory Electric Equipment</v>
          </cell>
          <cell r="D10">
            <v>3716255</v>
          </cell>
          <cell r="E10">
            <v>4070752</v>
          </cell>
          <cell r="F10">
            <v>2023156</v>
          </cell>
          <cell r="G10" t="str">
            <v>VG</v>
          </cell>
          <cell r="H10">
            <v>200</v>
          </cell>
          <cell r="I10" t="str">
            <v>SC</v>
          </cell>
          <cell r="J10">
            <v>16.5</v>
          </cell>
          <cell r="K10">
            <v>9.39</v>
          </cell>
          <cell r="L10">
            <v>0</v>
          </cell>
          <cell r="M10">
            <v>-5</v>
          </cell>
          <cell r="N10">
            <v>-5.2</v>
          </cell>
          <cell r="O10">
            <v>-5.2</v>
          </cell>
          <cell r="P10">
            <v>-4.8</v>
          </cell>
          <cell r="Q10">
            <v>10.199999999999999</v>
          </cell>
          <cell r="R10">
            <v>2031</v>
          </cell>
          <cell r="S10">
            <v>85873.084700000007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44561</v>
          </cell>
          <cell r="AA10">
            <v>1601644.27</v>
          </cell>
          <cell r="AB10">
            <v>1468407.6137000001</v>
          </cell>
          <cell r="AC10">
            <v>4293.6541999999999</v>
          </cell>
          <cell r="AD10">
            <v>4293.6541999999999</v>
          </cell>
          <cell r="AE10">
            <v>1870.3228999999999</v>
          </cell>
          <cell r="AF10">
            <v>235982.1925</v>
          </cell>
          <cell r="AG10">
            <v>260137.85</v>
          </cell>
        </row>
        <row r="11">
          <cell r="A11" t="str">
            <v>31600FCN005</v>
          </cell>
          <cell r="B11" t="str">
            <v>316.00</v>
          </cell>
          <cell r="C11" t="str">
            <v>Miscellaneous Power Plant Equip.</v>
          </cell>
          <cell r="D11">
            <v>2478981</v>
          </cell>
          <cell r="E11">
            <v>2711327</v>
          </cell>
          <cell r="F11">
            <v>954990</v>
          </cell>
          <cell r="G11" t="str">
            <v>VG</v>
          </cell>
          <cell r="H11">
            <v>200</v>
          </cell>
          <cell r="I11" t="str">
            <v>SC</v>
          </cell>
          <cell r="J11">
            <v>22.59</v>
          </cell>
          <cell r="K11">
            <v>9.3800000000000008</v>
          </cell>
          <cell r="L11">
            <v>-5.8</v>
          </cell>
          <cell r="M11">
            <v>-5</v>
          </cell>
          <cell r="N11">
            <v>-5.2</v>
          </cell>
          <cell r="O11">
            <v>-5.2</v>
          </cell>
          <cell r="P11">
            <v>-5.3</v>
          </cell>
          <cell r="Q11">
            <v>17.3</v>
          </cell>
          <cell r="R11">
            <v>2031</v>
          </cell>
          <cell r="S11">
            <v>58335.918299999998</v>
          </cell>
          <cell r="T11">
            <v>0</v>
          </cell>
          <cell r="U11">
            <v>5.8</v>
          </cell>
          <cell r="V11">
            <v>0</v>
          </cell>
          <cell r="W11">
            <v>5.8</v>
          </cell>
          <cell r="X11">
            <v>-5.8</v>
          </cell>
          <cell r="Y11">
            <v>0</v>
          </cell>
          <cell r="Z11">
            <v>44561</v>
          </cell>
          <cell r="AA11">
            <v>1560070.66</v>
          </cell>
          <cell r="AB11">
            <v>1321741.8112999999</v>
          </cell>
          <cell r="AC11">
            <v>2916.7957999999999</v>
          </cell>
          <cell r="AD11">
            <v>2916.7957999999999</v>
          </cell>
          <cell r="AE11">
            <v>1716.8177000000001</v>
          </cell>
          <cell r="AF11">
            <v>115520.51459999999</v>
          </cell>
          <cell r="AG11">
            <v>137087.64929999999</v>
          </cell>
        </row>
        <row r="12">
          <cell r="A12" t="str">
            <v>31100SPV001</v>
          </cell>
          <cell r="B12" t="str">
            <v>311.00</v>
          </cell>
          <cell r="C12" t="str">
            <v>Structures and Improvements</v>
          </cell>
          <cell r="D12">
            <v>31453285</v>
          </cell>
          <cell r="E12">
            <v>32670597</v>
          </cell>
          <cell r="F12">
            <v>9958357</v>
          </cell>
          <cell r="G12" t="str">
            <v>VG</v>
          </cell>
          <cell r="H12">
            <v>200</v>
          </cell>
          <cell r="I12" t="str">
            <v>SC</v>
          </cell>
          <cell r="J12">
            <v>44.78</v>
          </cell>
          <cell r="K12">
            <v>15.17</v>
          </cell>
          <cell r="L12">
            <v>-0.1</v>
          </cell>
          <cell r="M12">
            <v>-10</v>
          </cell>
          <cell r="N12">
            <v>-3</v>
          </cell>
          <cell r="O12">
            <v>-3.3</v>
          </cell>
          <cell r="P12">
            <v>-3.2</v>
          </cell>
          <cell r="Q12">
            <v>33.6</v>
          </cell>
          <cell r="R12">
            <v>2037</v>
          </cell>
          <cell r="S12">
            <v>1288146.9334</v>
          </cell>
          <cell r="T12">
            <v>0</v>
          </cell>
          <cell r="U12">
            <v>0.1</v>
          </cell>
          <cell r="V12">
            <v>0</v>
          </cell>
          <cell r="W12">
            <v>0.1</v>
          </cell>
          <cell r="X12">
            <v>-0.1</v>
          </cell>
          <cell r="Y12">
            <v>0</v>
          </cell>
          <cell r="Z12">
            <v>44561</v>
          </cell>
          <cell r="AA12">
            <v>23260020.850000001</v>
          </cell>
          <cell r="AB12">
            <v>23928710.661499999</v>
          </cell>
          <cell r="AC12">
            <v>128814.6933</v>
          </cell>
          <cell r="AD12">
            <v>128814.6933</v>
          </cell>
          <cell r="AE12">
            <v>85467.243300000002</v>
          </cell>
          <cell r="AF12">
            <v>723425.55500000005</v>
          </cell>
          <cell r="AG12">
            <v>563013.80149999994</v>
          </cell>
        </row>
        <row r="13">
          <cell r="A13" t="str">
            <v>31200SPV001</v>
          </cell>
          <cell r="B13" t="str">
            <v>312.00</v>
          </cell>
          <cell r="C13" t="str">
            <v>Boiler Plant Equipment</v>
          </cell>
          <cell r="D13">
            <v>331613806</v>
          </cell>
          <cell r="E13">
            <v>361383141</v>
          </cell>
          <cell r="F13">
            <v>134974615</v>
          </cell>
          <cell r="G13" t="str">
            <v>VG</v>
          </cell>
          <cell r="H13">
            <v>200</v>
          </cell>
          <cell r="I13" t="str">
            <v>SC</v>
          </cell>
          <cell r="J13">
            <v>35.729999999999997</v>
          </cell>
          <cell r="K13">
            <v>15.18</v>
          </cell>
          <cell r="L13">
            <v>-2.9</v>
          </cell>
          <cell r="M13">
            <v>-5</v>
          </cell>
          <cell r="N13">
            <v>-3</v>
          </cell>
          <cell r="O13">
            <v>-3.1</v>
          </cell>
          <cell r="P13">
            <v>-3.1</v>
          </cell>
          <cell r="Q13">
            <v>28.7</v>
          </cell>
          <cell r="R13">
            <v>2037</v>
          </cell>
          <cell r="S13">
            <v>13413607.8036</v>
          </cell>
          <cell r="T13">
            <v>0</v>
          </cell>
          <cell r="U13">
            <v>2.9</v>
          </cell>
          <cell r="V13">
            <v>0</v>
          </cell>
          <cell r="W13">
            <v>2.9</v>
          </cell>
          <cell r="X13">
            <v>-2.9</v>
          </cell>
          <cell r="Y13">
            <v>0</v>
          </cell>
          <cell r="Z13">
            <v>44561</v>
          </cell>
          <cell r="AA13">
            <v>217084720.2367</v>
          </cell>
          <cell r="AB13">
            <v>218903843.8355</v>
          </cell>
          <cell r="AC13">
            <v>670680.39040000003</v>
          </cell>
          <cell r="AD13">
            <v>670680.39040000003</v>
          </cell>
          <cell r="AE13">
            <v>390888.8518</v>
          </cell>
          <cell r="AF13">
            <v>9583638.9934</v>
          </cell>
          <cell r="AG13">
            <v>8091376.8663999997</v>
          </cell>
        </row>
        <row r="14">
          <cell r="A14" t="str">
            <v>31400SPV001</v>
          </cell>
          <cell r="B14" t="str">
            <v>314.00</v>
          </cell>
          <cell r="C14" t="str">
            <v>Turbogenerator Units</v>
          </cell>
          <cell r="D14">
            <v>101275723</v>
          </cell>
          <cell r="E14">
            <v>109936230</v>
          </cell>
          <cell r="F14">
            <v>44900206</v>
          </cell>
          <cell r="G14" t="str">
            <v>VG</v>
          </cell>
          <cell r="H14">
            <v>200</v>
          </cell>
          <cell r="I14" t="str">
            <v>SC</v>
          </cell>
          <cell r="J14">
            <v>32.93</v>
          </cell>
          <cell r="K14">
            <v>15.18</v>
          </cell>
          <cell r="L14">
            <v>-0.3</v>
          </cell>
          <cell r="M14">
            <v>-5</v>
          </cell>
          <cell r="N14">
            <v>-3</v>
          </cell>
          <cell r="O14">
            <v>-3.1</v>
          </cell>
          <cell r="P14">
            <v>-2.9</v>
          </cell>
          <cell r="Q14">
            <v>26.2</v>
          </cell>
          <cell r="R14">
            <v>2037</v>
          </cell>
          <cell r="S14">
            <v>4070682.3758</v>
          </cell>
          <cell r="T14">
            <v>0</v>
          </cell>
          <cell r="U14">
            <v>0.3</v>
          </cell>
          <cell r="V14">
            <v>0</v>
          </cell>
          <cell r="W14">
            <v>0.3</v>
          </cell>
          <cell r="X14">
            <v>-0.3</v>
          </cell>
          <cell r="Y14">
            <v>0</v>
          </cell>
          <cell r="Z14">
            <v>44561</v>
          </cell>
          <cell r="AA14">
            <v>66010008.411899999</v>
          </cell>
          <cell r="AB14">
            <v>62758686.897600003</v>
          </cell>
          <cell r="AC14">
            <v>203534.11869999999</v>
          </cell>
          <cell r="AD14">
            <v>203534.11869999999</v>
          </cell>
          <cell r="AE14">
            <v>111519.0429</v>
          </cell>
          <cell r="AF14">
            <v>3159802.5575999999</v>
          </cell>
          <cell r="AG14">
            <v>2744572.0932999998</v>
          </cell>
        </row>
        <row r="15">
          <cell r="A15" t="str">
            <v>31500SPV001</v>
          </cell>
          <cell r="B15" t="str">
            <v>315.00</v>
          </cell>
          <cell r="C15" t="str">
            <v>Accessory Electric Equipment</v>
          </cell>
          <cell r="D15">
            <v>49584768</v>
          </cell>
          <cell r="E15">
            <v>49801047</v>
          </cell>
          <cell r="F15">
            <v>14830942</v>
          </cell>
          <cell r="G15" t="str">
            <v>VG</v>
          </cell>
          <cell r="H15">
            <v>200</v>
          </cell>
          <cell r="I15" t="str">
            <v>SC</v>
          </cell>
          <cell r="J15">
            <v>47.38</v>
          </cell>
          <cell r="K15">
            <v>15.17</v>
          </cell>
          <cell r="L15">
            <v>0</v>
          </cell>
          <cell r="M15">
            <v>-5</v>
          </cell>
          <cell r="N15">
            <v>-3</v>
          </cell>
          <cell r="O15">
            <v>-3.1</v>
          </cell>
          <cell r="P15">
            <v>-3.1</v>
          </cell>
          <cell r="Q15">
            <v>35.1</v>
          </cell>
          <cell r="R15">
            <v>2037</v>
          </cell>
          <cell r="S15">
            <v>2038813.0208999999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44561</v>
          </cell>
          <cell r="AA15">
            <v>37874251.560000002</v>
          </cell>
          <cell r="AB15">
            <v>38688859.592100002</v>
          </cell>
          <cell r="AC15">
            <v>101940.6513</v>
          </cell>
          <cell r="AD15">
            <v>101940.6513</v>
          </cell>
          <cell r="AE15">
            <v>69431.157800000001</v>
          </cell>
          <cell r="AF15">
            <v>1080947.9424000001</v>
          </cell>
          <cell r="AG15">
            <v>818148.67200000002</v>
          </cell>
        </row>
        <row r="16">
          <cell r="A16" t="str">
            <v>31600SPV001</v>
          </cell>
          <cell r="B16" t="str">
            <v>316.00</v>
          </cell>
          <cell r="C16" t="str">
            <v>Miscellaneous Power Plant Equip.</v>
          </cell>
          <cell r="D16">
            <v>4563509</v>
          </cell>
          <cell r="E16">
            <v>4905039</v>
          </cell>
          <cell r="F16">
            <v>1309005</v>
          </cell>
          <cell r="G16" t="str">
            <v>VG</v>
          </cell>
          <cell r="H16">
            <v>200</v>
          </cell>
          <cell r="I16" t="str">
            <v>SC</v>
          </cell>
          <cell r="J16">
            <v>49.16</v>
          </cell>
          <cell r="K16">
            <v>15.17</v>
          </cell>
          <cell r="L16">
            <v>-1.4</v>
          </cell>
          <cell r="M16">
            <v>-5</v>
          </cell>
          <cell r="N16">
            <v>-3</v>
          </cell>
          <cell r="O16">
            <v>-3.1</v>
          </cell>
          <cell r="P16">
            <v>-3</v>
          </cell>
          <cell r="Q16">
            <v>35.9</v>
          </cell>
          <cell r="R16">
            <v>2037</v>
          </cell>
          <cell r="S16">
            <v>188021.35159999999</v>
          </cell>
          <cell r="T16">
            <v>0</v>
          </cell>
          <cell r="U16">
            <v>1.4</v>
          </cell>
          <cell r="V16">
            <v>0</v>
          </cell>
          <cell r="W16">
            <v>1.4</v>
          </cell>
          <cell r="X16">
            <v>-1.4</v>
          </cell>
          <cell r="Y16">
            <v>0</v>
          </cell>
          <cell r="Z16">
            <v>44561</v>
          </cell>
          <cell r="AA16">
            <v>3674098.28</v>
          </cell>
          <cell r="AB16">
            <v>3622998.352</v>
          </cell>
          <cell r="AC16">
            <v>9401.0674999999992</v>
          </cell>
          <cell r="AD16">
            <v>9401.0674999999992</v>
          </cell>
          <cell r="AE16">
            <v>6504.0030999999999</v>
          </cell>
          <cell r="AF16">
            <v>95833.688999999998</v>
          </cell>
          <cell r="AG16">
            <v>71190.740399999995</v>
          </cell>
        </row>
        <row r="17">
          <cell r="A17" t="str">
            <v>31100SPV002</v>
          </cell>
          <cell r="B17" t="str">
            <v>311.00</v>
          </cell>
          <cell r="C17" t="str">
            <v>Structures and Improvements</v>
          </cell>
          <cell r="D17">
            <v>33160112</v>
          </cell>
          <cell r="E17">
            <v>35910212</v>
          </cell>
          <cell r="F17">
            <v>15748015</v>
          </cell>
          <cell r="G17" t="str">
            <v>VG</v>
          </cell>
          <cell r="H17">
            <v>200</v>
          </cell>
          <cell r="I17" t="str">
            <v>SC</v>
          </cell>
          <cell r="J17">
            <v>40.71</v>
          </cell>
          <cell r="K17">
            <v>19.940000000000001</v>
          </cell>
          <cell r="L17">
            <v>-10.5</v>
          </cell>
          <cell r="M17">
            <v>-10</v>
          </cell>
          <cell r="N17">
            <v>-3</v>
          </cell>
          <cell r="O17">
            <v>-3.4</v>
          </cell>
          <cell r="P17">
            <v>-3.9</v>
          </cell>
          <cell r="Q17">
            <v>25.1</v>
          </cell>
          <cell r="R17">
            <v>2042</v>
          </cell>
          <cell r="S17">
            <v>1770113.8557</v>
          </cell>
          <cell r="T17">
            <v>0</v>
          </cell>
          <cell r="U17">
            <v>10.5</v>
          </cell>
          <cell r="V17">
            <v>0</v>
          </cell>
          <cell r="W17">
            <v>10.5</v>
          </cell>
          <cell r="X17">
            <v>-10.5</v>
          </cell>
          <cell r="Y17">
            <v>0</v>
          </cell>
          <cell r="Z17">
            <v>44561</v>
          </cell>
          <cell r="AA17">
            <v>14817528.579299999</v>
          </cell>
          <cell r="AB17">
            <v>14344834.347100001</v>
          </cell>
          <cell r="AC17">
            <v>177011.38529999999</v>
          </cell>
          <cell r="AD17">
            <v>177011.38529999999</v>
          </cell>
          <cell r="AE17">
            <v>90904.801999999996</v>
          </cell>
          <cell r="AF17">
            <v>845582.85600000003</v>
          </cell>
          <cell r="AG17">
            <v>1001435.3824</v>
          </cell>
        </row>
        <row r="18">
          <cell r="A18" t="str">
            <v>31200SPV002</v>
          </cell>
          <cell r="B18" t="str">
            <v>312.00</v>
          </cell>
          <cell r="C18" t="str">
            <v>Boiler Plant Equipment</v>
          </cell>
          <cell r="D18">
            <v>305811741</v>
          </cell>
          <cell r="E18">
            <v>381607016</v>
          </cell>
          <cell r="F18">
            <v>159693429</v>
          </cell>
          <cell r="G18" t="str">
            <v>VG</v>
          </cell>
          <cell r="H18">
            <v>200</v>
          </cell>
          <cell r="I18" t="str">
            <v>SC</v>
          </cell>
          <cell r="J18">
            <v>37.65</v>
          </cell>
          <cell r="K18">
            <v>19.95</v>
          </cell>
          <cell r="L18">
            <v>-9.6</v>
          </cell>
          <cell r="M18">
            <v>-5</v>
          </cell>
          <cell r="N18">
            <v>-3</v>
          </cell>
          <cell r="O18">
            <v>-3.1</v>
          </cell>
          <cell r="P18">
            <v>-4.4000000000000004</v>
          </cell>
          <cell r="Q18">
            <v>23.3</v>
          </cell>
          <cell r="R18">
            <v>2042</v>
          </cell>
          <cell r="S18">
            <v>16250992.1105</v>
          </cell>
          <cell r="T18">
            <v>5.7</v>
          </cell>
          <cell r="U18">
            <v>15.3</v>
          </cell>
          <cell r="V18">
            <v>5.7</v>
          </cell>
          <cell r="W18">
            <v>15.3</v>
          </cell>
          <cell r="X18">
            <v>-9.6</v>
          </cell>
          <cell r="Y18">
            <v>0</v>
          </cell>
          <cell r="Z18">
            <v>44561</v>
          </cell>
          <cell r="AA18">
            <v>117824713.96359999</v>
          </cell>
          <cell r="AB18">
            <v>120378549.0661</v>
          </cell>
          <cell r="AC18">
            <v>812549.60549999995</v>
          </cell>
          <cell r="AD18">
            <v>812549.60549999995</v>
          </cell>
          <cell r="AE18">
            <v>385369.05430000002</v>
          </cell>
          <cell r="AF18">
            <v>8470985.2257000003</v>
          </cell>
          <cell r="AG18">
            <v>9755394.5379000008</v>
          </cell>
        </row>
        <row r="19">
          <cell r="A19" t="str">
            <v>31400SPV002</v>
          </cell>
          <cell r="B19" t="str">
            <v>314.00</v>
          </cell>
          <cell r="C19" t="str">
            <v>Turbogenerator Units</v>
          </cell>
          <cell r="D19">
            <v>125065836</v>
          </cell>
          <cell r="E19">
            <v>162735701</v>
          </cell>
          <cell r="F19">
            <v>69816516</v>
          </cell>
          <cell r="G19" t="str">
            <v>VG</v>
          </cell>
          <cell r="H19">
            <v>200</v>
          </cell>
          <cell r="I19" t="str">
            <v>SC</v>
          </cell>
          <cell r="J19">
            <v>35.11</v>
          </cell>
          <cell r="K19">
            <v>19.95</v>
          </cell>
          <cell r="L19">
            <v>-5.9</v>
          </cell>
          <cell r="M19">
            <v>-5</v>
          </cell>
          <cell r="N19">
            <v>-3</v>
          </cell>
          <cell r="O19">
            <v>-3.1</v>
          </cell>
          <cell r="P19">
            <v>-3.7</v>
          </cell>
          <cell r="Q19">
            <v>20.5</v>
          </cell>
          <cell r="R19">
            <v>2042</v>
          </cell>
          <cell r="S19">
            <v>6596271.6995999999</v>
          </cell>
          <cell r="T19">
            <v>0</v>
          </cell>
          <cell r="U19">
            <v>5.9</v>
          </cell>
          <cell r="V19">
            <v>0</v>
          </cell>
          <cell r="W19">
            <v>5.9</v>
          </cell>
          <cell r="X19">
            <v>-5.9</v>
          </cell>
          <cell r="Y19">
            <v>0</v>
          </cell>
          <cell r="Z19">
            <v>44561</v>
          </cell>
          <cell r="AA19">
            <v>44626142.527800001</v>
          </cell>
          <cell r="AB19">
            <v>45516765.971900001</v>
          </cell>
          <cell r="AC19">
            <v>329813.58500000002</v>
          </cell>
          <cell r="AD19">
            <v>329813.58500000002</v>
          </cell>
          <cell r="AE19">
            <v>143876.54749999999</v>
          </cell>
          <cell r="AF19">
            <v>3689442.162</v>
          </cell>
          <cell r="AG19">
            <v>4177198.9224</v>
          </cell>
        </row>
        <row r="20">
          <cell r="A20" t="str">
            <v>31500SPV002</v>
          </cell>
          <cell r="B20" t="str">
            <v>315.00</v>
          </cell>
          <cell r="C20" t="str">
            <v>Accessory Electric Equipment</v>
          </cell>
          <cell r="D20">
            <v>48722856</v>
          </cell>
          <cell r="E20">
            <v>50176403</v>
          </cell>
          <cell r="F20">
            <v>19500063</v>
          </cell>
          <cell r="G20" t="str">
            <v>VG</v>
          </cell>
          <cell r="H20">
            <v>200</v>
          </cell>
          <cell r="I20" t="str">
            <v>SC</v>
          </cell>
          <cell r="J20">
            <v>47.65</v>
          </cell>
          <cell r="K20">
            <v>19.93</v>
          </cell>
          <cell r="L20">
            <v>-4.4000000000000004</v>
          </cell>
          <cell r="M20">
            <v>-5</v>
          </cell>
          <cell r="N20">
            <v>-3</v>
          </cell>
          <cell r="O20">
            <v>-3.1</v>
          </cell>
          <cell r="P20">
            <v>-3.1</v>
          </cell>
          <cell r="Q20">
            <v>30.3</v>
          </cell>
          <cell r="R20">
            <v>2042</v>
          </cell>
          <cell r="S20">
            <v>2635910.415</v>
          </cell>
          <cell r="T20">
            <v>0</v>
          </cell>
          <cell r="U20">
            <v>4.4000000000000004</v>
          </cell>
          <cell r="V20">
            <v>0</v>
          </cell>
          <cell r="W20">
            <v>4.4000000000000004</v>
          </cell>
          <cell r="X20">
            <v>-4.4000000000000004</v>
          </cell>
          <cell r="Y20">
            <v>0</v>
          </cell>
          <cell r="Z20">
            <v>44561</v>
          </cell>
          <cell r="AA20">
            <v>26911255.079999998</v>
          </cell>
          <cell r="AB20">
            <v>24074993.693100002</v>
          </cell>
          <cell r="AC20">
            <v>131795.5208</v>
          </cell>
          <cell r="AD20">
            <v>131795.5208</v>
          </cell>
          <cell r="AE20">
            <v>76769.127999999997</v>
          </cell>
          <cell r="AF20">
            <v>1052413.6895999999</v>
          </cell>
          <cell r="AG20">
            <v>1310644.8263999999</v>
          </cell>
        </row>
        <row r="21">
          <cell r="A21" t="str">
            <v>31600SPV002</v>
          </cell>
          <cell r="B21" t="str">
            <v>316.00</v>
          </cell>
          <cell r="C21" t="str">
            <v>Miscellaneous Power Plant Equip.</v>
          </cell>
          <cell r="D21">
            <v>7158865</v>
          </cell>
          <cell r="E21">
            <v>7479274</v>
          </cell>
          <cell r="F21">
            <v>3932112</v>
          </cell>
          <cell r="G21" t="str">
            <v>VG</v>
          </cell>
          <cell r="H21">
            <v>200</v>
          </cell>
          <cell r="I21" t="str">
            <v>SC</v>
          </cell>
          <cell r="J21">
            <v>36.65</v>
          </cell>
          <cell r="K21">
            <v>19.95</v>
          </cell>
          <cell r="L21">
            <v>-84.8</v>
          </cell>
          <cell r="M21">
            <v>-5</v>
          </cell>
          <cell r="N21">
            <v>-3</v>
          </cell>
          <cell r="O21">
            <v>-3.1</v>
          </cell>
          <cell r="P21">
            <v>-6.6</v>
          </cell>
          <cell r="Q21">
            <v>22</v>
          </cell>
          <cell r="R21">
            <v>2042</v>
          </cell>
          <cell r="S21">
            <v>379163.78860000003</v>
          </cell>
          <cell r="T21">
            <v>0</v>
          </cell>
          <cell r="U21">
            <v>84.8</v>
          </cell>
          <cell r="V21">
            <v>0</v>
          </cell>
          <cell r="W21">
            <v>84.8</v>
          </cell>
          <cell r="X21">
            <v>-84.8</v>
          </cell>
          <cell r="Y21">
            <v>0</v>
          </cell>
          <cell r="Z21">
            <v>44561</v>
          </cell>
          <cell r="AA21">
            <v>2793841.15</v>
          </cell>
          <cell r="AB21">
            <v>2658338.2225000001</v>
          </cell>
          <cell r="AC21">
            <v>18958.189399999999</v>
          </cell>
          <cell r="AD21">
            <v>18958.189399999999</v>
          </cell>
          <cell r="AE21">
            <v>8749.0498000000007</v>
          </cell>
          <cell r="AF21">
            <v>208322.97150000001</v>
          </cell>
          <cell r="AG21">
            <v>236958.43150000001</v>
          </cell>
        </row>
        <row r="22">
          <cell r="A22" t="str">
            <v>31100SPVCH0</v>
          </cell>
          <cell r="B22" t="str">
            <v>311.00</v>
          </cell>
          <cell r="C22" t="str">
            <v>Structures and Improvements</v>
          </cell>
          <cell r="D22">
            <v>7479853</v>
          </cell>
          <cell r="E22">
            <v>7479853</v>
          </cell>
          <cell r="F22">
            <v>3521737</v>
          </cell>
          <cell r="G22" t="str">
            <v>VG</v>
          </cell>
          <cell r="H22">
            <v>200</v>
          </cell>
          <cell r="I22" t="str">
            <v>SC</v>
          </cell>
          <cell r="J22">
            <v>38.22</v>
          </cell>
          <cell r="K22">
            <v>19.95</v>
          </cell>
          <cell r="L22">
            <v>0</v>
          </cell>
          <cell r="M22">
            <v>-10</v>
          </cell>
          <cell r="N22">
            <v>-10.7</v>
          </cell>
          <cell r="O22">
            <v>-10.7</v>
          </cell>
          <cell r="P22">
            <v>-10.7</v>
          </cell>
          <cell r="Q22">
            <v>24.3</v>
          </cell>
          <cell r="R22">
            <v>2042</v>
          </cell>
          <cell r="S22">
            <v>398787.69329999998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44561</v>
          </cell>
          <cell r="AA22">
            <v>3049883.61</v>
          </cell>
          <cell r="AB22">
            <v>3313446.3930000002</v>
          </cell>
          <cell r="AC22">
            <v>39878.7693</v>
          </cell>
          <cell r="AD22">
            <v>39878.7693</v>
          </cell>
          <cell r="AE22">
            <v>19346.408100000001</v>
          </cell>
          <cell r="AF22">
            <v>216915.73699999999</v>
          </cell>
          <cell r="AG22">
            <v>249079.10490000001</v>
          </cell>
        </row>
        <row r="23">
          <cell r="A23" t="str">
            <v>31200SPVCH0</v>
          </cell>
          <cell r="B23" t="str">
            <v>312.00</v>
          </cell>
          <cell r="C23" t="str">
            <v>Boiler Plant Equipment</v>
          </cell>
          <cell r="D23">
            <v>169604644</v>
          </cell>
          <cell r="E23">
            <v>190831542</v>
          </cell>
          <cell r="F23">
            <v>68602353</v>
          </cell>
          <cell r="G23" t="str">
            <v>VG</v>
          </cell>
          <cell r="H23">
            <v>200</v>
          </cell>
          <cell r="I23" t="str">
            <v>SC</v>
          </cell>
          <cell r="J23">
            <v>42.94</v>
          </cell>
          <cell r="K23">
            <v>19.940000000000001</v>
          </cell>
          <cell r="L23">
            <v>-2.8</v>
          </cell>
          <cell r="M23">
            <v>-5</v>
          </cell>
          <cell r="N23">
            <v>-10.7</v>
          </cell>
          <cell r="O23">
            <v>-10.4</v>
          </cell>
          <cell r="P23">
            <v>-9.5</v>
          </cell>
          <cell r="Q23">
            <v>29.9</v>
          </cell>
          <cell r="R23">
            <v>2042</v>
          </cell>
          <cell r="S23">
            <v>9175760.6183000002</v>
          </cell>
          <cell r="T23">
            <v>-0.1</v>
          </cell>
          <cell r="U23">
            <v>2.7</v>
          </cell>
          <cell r="V23">
            <v>-0.1</v>
          </cell>
          <cell r="W23">
            <v>2.7</v>
          </cell>
          <cell r="X23">
            <v>-2.8</v>
          </cell>
          <cell r="Y23">
            <v>0</v>
          </cell>
          <cell r="Z23">
            <v>44561</v>
          </cell>
          <cell r="AA23">
            <v>85157321.119499996</v>
          </cell>
          <cell r="AB23">
            <v>84551754.638699993</v>
          </cell>
          <cell r="AC23">
            <v>458788.03100000002</v>
          </cell>
          <cell r="AD23">
            <v>458788.03100000002</v>
          </cell>
          <cell r="AE23">
            <v>248732.3793</v>
          </cell>
          <cell r="AF23">
            <v>4324918.4220000003</v>
          </cell>
          <cell r="AG23">
            <v>5155981.1776000001</v>
          </cell>
        </row>
        <row r="24">
          <cell r="A24" t="str">
            <v>31500SPVCH0</v>
          </cell>
          <cell r="B24" t="str">
            <v>315.00</v>
          </cell>
          <cell r="C24" t="str">
            <v>Accessory Electric Equipment</v>
          </cell>
          <cell r="D24">
            <v>9816718</v>
          </cell>
          <cell r="E24">
            <v>9833725</v>
          </cell>
          <cell r="F24">
            <v>3040889</v>
          </cell>
          <cell r="G24" t="str">
            <v>VG</v>
          </cell>
          <cell r="H24">
            <v>200</v>
          </cell>
          <cell r="I24" t="str">
            <v>SC</v>
          </cell>
          <cell r="J24">
            <v>53.15</v>
          </cell>
          <cell r="K24">
            <v>19.920000000000002</v>
          </cell>
          <cell r="L24">
            <v>-0.3</v>
          </cell>
          <cell r="M24">
            <v>-5</v>
          </cell>
          <cell r="N24">
            <v>-10.7</v>
          </cell>
          <cell r="O24">
            <v>-10.4</v>
          </cell>
          <cell r="P24">
            <v>-10.4</v>
          </cell>
          <cell r="Q24">
            <v>36.1</v>
          </cell>
          <cell r="R24">
            <v>2042</v>
          </cell>
          <cell r="S24">
            <v>539594.38230000006</v>
          </cell>
          <cell r="T24">
            <v>0</v>
          </cell>
          <cell r="U24">
            <v>0.3</v>
          </cell>
          <cell r="V24">
            <v>0</v>
          </cell>
          <cell r="W24">
            <v>0.3</v>
          </cell>
          <cell r="X24">
            <v>-0.3</v>
          </cell>
          <cell r="Y24">
            <v>0</v>
          </cell>
          <cell r="Z24">
            <v>44561</v>
          </cell>
          <cell r="AA24">
            <v>5370744.3600000003</v>
          </cell>
          <cell r="AB24">
            <v>5672230.3797000004</v>
          </cell>
          <cell r="AC24">
            <v>26979.719300000001</v>
          </cell>
          <cell r="AD24">
            <v>26979.719300000001</v>
          </cell>
          <cell r="AE24">
            <v>16893.6702</v>
          </cell>
          <cell r="AF24">
            <v>204187.73439999999</v>
          </cell>
          <cell r="AG24">
            <v>259161.35519999999</v>
          </cell>
        </row>
        <row r="25">
          <cell r="A25" t="str">
            <v>31600SPVCH0</v>
          </cell>
          <cell r="B25" t="str">
            <v>316.00</v>
          </cell>
          <cell r="C25" t="str">
            <v>Miscellaneous Power Plant Equip.</v>
          </cell>
          <cell r="D25">
            <v>1112099</v>
          </cell>
          <cell r="E25">
            <v>1112099</v>
          </cell>
          <cell r="F25">
            <v>679476</v>
          </cell>
          <cell r="G25" t="str">
            <v>VG</v>
          </cell>
          <cell r="H25">
            <v>200</v>
          </cell>
          <cell r="I25" t="str">
            <v>SC</v>
          </cell>
          <cell r="J25">
            <v>30.82</v>
          </cell>
          <cell r="K25">
            <v>19.96</v>
          </cell>
          <cell r="L25">
            <v>0</v>
          </cell>
          <cell r="M25">
            <v>-5</v>
          </cell>
          <cell r="N25">
            <v>-10.7</v>
          </cell>
          <cell r="O25">
            <v>-10.4</v>
          </cell>
          <cell r="P25">
            <v>-10.4</v>
          </cell>
          <cell r="Q25">
            <v>14.6</v>
          </cell>
          <cell r="R25">
            <v>2042</v>
          </cell>
          <cell r="S25">
            <v>57778.027499999997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44561</v>
          </cell>
          <cell r="AA25">
            <v>321642.84999999998</v>
          </cell>
          <cell r="AB25">
            <v>362160.5282</v>
          </cell>
          <cell r="AC25">
            <v>2888.9014000000002</v>
          </cell>
          <cell r="AD25">
            <v>2888.9014000000002</v>
          </cell>
          <cell r="AE25">
            <v>1034.0838000000001</v>
          </cell>
          <cell r="AF25">
            <v>39813.144200000002</v>
          </cell>
          <cell r="AG25">
            <v>43371.860999999997</v>
          </cell>
        </row>
        <row r="26">
          <cell r="A26" t="str">
            <v>310RWSPVCM0</v>
          </cell>
          <cell r="B26" t="str">
            <v>310.RW</v>
          </cell>
          <cell r="C26" t="str">
            <v>Rights of Way and Water Rights</v>
          </cell>
          <cell r="D26">
            <v>11291588</v>
          </cell>
          <cell r="E26">
            <v>11291588</v>
          </cell>
          <cell r="F26">
            <v>7866670</v>
          </cell>
          <cell r="G26" t="str">
            <v>VG</v>
          </cell>
          <cell r="H26">
            <v>200</v>
          </cell>
          <cell r="I26" t="str">
            <v>SC</v>
          </cell>
          <cell r="J26">
            <v>28.65</v>
          </cell>
          <cell r="K26">
            <v>19.96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12.5</v>
          </cell>
          <cell r="R26">
            <v>2042</v>
          </cell>
          <cell r="S26">
            <v>583356.52830000001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44561</v>
          </cell>
          <cell r="AA26">
            <v>3023638.35</v>
          </cell>
          <cell r="AB26">
            <v>2969157.0822999999</v>
          </cell>
          <cell r="AC26">
            <v>0</v>
          </cell>
          <cell r="AD26">
            <v>0</v>
          </cell>
          <cell r="AE26">
            <v>0</v>
          </cell>
          <cell r="AF26">
            <v>394076.42119999998</v>
          </cell>
          <cell r="AG26">
            <v>416659.59720000002</v>
          </cell>
        </row>
        <row r="27">
          <cell r="A27" t="str">
            <v>31100SPVCM0</v>
          </cell>
          <cell r="B27" t="str">
            <v>311.00</v>
          </cell>
          <cell r="C27" t="str">
            <v>Structures and Improvements</v>
          </cell>
          <cell r="D27">
            <v>220819041</v>
          </cell>
          <cell r="E27">
            <v>222037708</v>
          </cell>
          <cell r="F27">
            <v>80147592</v>
          </cell>
          <cell r="G27" t="str">
            <v>VG</v>
          </cell>
          <cell r="H27">
            <v>200</v>
          </cell>
          <cell r="I27" t="str">
            <v>SC</v>
          </cell>
          <cell r="J27">
            <v>43.62</v>
          </cell>
          <cell r="K27">
            <v>19.940000000000001</v>
          </cell>
          <cell r="L27">
            <v>-67.3</v>
          </cell>
          <cell r="M27">
            <v>-10</v>
          </cell>
          <cell r="N27">
            <v>-18</v>
          </cell>
          <cell r="O27">
            <v>-17.600000000000001</v>
          </cell>
          <cell r="P27">
            <v>-17.899999999999999</v>
          </cell>
          <cell r="Q27">
            <v>28.6</v>
          </cell>
          <cell r="R27">
            <v>2042</v>
          </cell>
          <cell r="S27">
            <v>11903026.4023</v>
          </cell>
          <cell r="T27">
            <v>-0.1</v>
          </cell>
          <cell r="U27">
            <v>67.2</v>
          </cell>
          <cell r="V27">
            <v>-0.1</v>
          </cell>
          <cell r="W27">
            <v>67.2</v>
          </cell>
          <cell r="X27">
            <v>-67.3</v>
          </cell>
          <cell r="Y27">
            <v>0</v>
          </cell>
          <cell r="Z27">
            <v>44561</v>
          </cell>
          <cell r="AA27">
            <v>121640972.037</v>
          </cell>
          <cell r="AB27">
            <v>121952009.5538</v>
          </cell>
          <cell r="AC27">
            <v>1190302.6403000001</v>
          </cell>
          <cell r="AD27">
            <v>1190302.6403000001</v>
          </cell>
          <cell r="AE27">
            <v>651437.03469999996</v>
          </cell>
          <cell r="AF27">
            <v>5962114.1069999998</v>
          </cell>
          <cell r="AG27">
            <v>6911635.9833000004</v>
          </cell>
        </row>
        <row r="28">
          <cell r="A28" t="str">
            <v>31200SPVCM0</v>
          </cell>
          <cell r="B28" t="str">
            <v>312.00</v>
          </cell>
          <cell r="C28" t="str">
            <v>Boiler Plant Equipment</v>
          </cell>
          <cell r="D28">
            <v>100471380</v>
          </cell>
          <cell r="E28">
            <v>101490743</v>
          </cell>
          <cell r="F28">
            <v>44801113</v>
          </cell>
          <cell r="G28" t="str">
            <v>VG</v>
          </cell>
          <cell r="H28">
            <v>200</v>
          </cell>
          <cell r="I28" t="str">
            <v>SC</v>
          </cell>
          <cell r="J28">
            <v>39.1</v>
          </cell>
          <cell r="K28">
            <v>19.95</v>
          </cell>
          <cell r="L28">
            <v>-412.6</v>
          </cell>
          <cell r="M28">
            <v>-5</v>
          </cell>
          <cell r="N28">
            <v>-18</v>
          </cell>
          <cell r="O28">
            <v>-17.3</v>
          </cell>
          <cell r="P28">
            <v>-21.3</v>
          </cell>
          <cell r="Q28">
            <v>22.9</v>
          </cell>
          <cell r="R28">
            <v>2042</v>
          </cell>
          <cell r="S28">
            <v>5333663.1387999998</v>
          </cell>
          <cell r="T28">
            <v>-2.2000000000000002</v>
          </cell>
          <cell r="U28">
            <v>410.4</v>
          </cell>
          <cell r="V28">
            <v>-2.2000000000000002</v>
          </cell>
          <cell r="W28">
            <v>410.4</v>
          </cell>
          <cell r="X28">
            <v>-412.6</v>
          </cell>
          <cell r="Y28">
            <v>0</v>
          </cell>
          <cell r="Z28">
            <v>44561</v>
          </cell>
          <cell r="AA28">
            <v>48392215.158500001</v>
          </cell>
          <cell r="AB28">
            <v>48262109.634999998</v>
          </cell>
          <cell r="AC28">
            <v>266683.15700000001</v>
          </cell>
          <cell r="AD28">
            <v>266683.15700000001</v>
          </cell>
          <cell r="AE28">
            <v>131651.86189999999</v>
          </cell>
          <cell r="AF28">
            <v>3114612.78</v>
          </cell>
          <cell r="AG28">
            <v>3486356.8859999999</v>
          </cell>
        </row>
        <row r="29">
          <cell r="A29" t="str">
            <v>31400SPVCM0</v>
          </cell>
          <cell r="B29" t="str">
            <v>314.00</v>
          </cell>
          <cell r="C29" t="str">
            <v>Turbogenerator Units</v>
          </cell>
          <cell r="D29">
            <v>6726955</v>
          </cell>
          <cell r="E29">
            <v>6800298</v>
          </cell>
          <cell r="F29">
            <v>3398370</v>
          </cell>
          <cell r="G29" t="str">
            <v>VG</v>
          </cell>
          <cell r="H29">
            <v>200</v>
          </cell>
          <cell r="I29" t="str">
            <v>SC</v>
          </cell>
          <cell r="J29">
            <v>38.83</v>
          </cell>
          <cell r="K29">
            <v>19.95</v>
          </cell>
          <cell r="L29">
            <v>-1375.6</v>
          </cell>
          <cell r="M29">
            <v>-5</v>
          </cell>
          <cell r="N29">
            <v>-18</v>
          </cell>
          <cell r="O29">
            <v>-17.3</v>
          </cell>
          <cell r="P29">
            <v>-32</v>
          </cell>
          <cell r="Q29">
            <v>24.3</v>
          </cell>
          <cell r="R29">
            <v>2042</v>
          </cell>
          <cell r="S29">
            <v>358582.7328</v>
          </cell>
          <cell r="T29">
            <v>-0.9</v>
          </cell>
          <cell r="U29">
            <v>1374.7</v>
          </cell>
          <cell r="V29">
            <v>-0.9</v>
          </cell>
          <cell r="W29">
            <v>1374.7</v>
          </cell>
          <cell r="X29">
            <v>-1375.6</v>
          </cell>
          <cell r="Y29">
            <v>0</v>
          </cell>
          <cell r="Z29">
            <v>44561</v>
          </cell>
          <cell r="AA29">
            <v>3427782.82</v>
          </cell>
          <cell r="AB29">
            <v>2885643.3374000001</v>
          </cell>
          <cell r="AC29">
            <v>17929.136500000001</v>
          </cell>
          <cell r="AD29">
            <v>17929.136500000001</v>
          </cell>
          <cell r="AE29">
            <v>8827.4542999999994</v>
          </cell>
          <cell r="AF29">
            <v>228716.47</v>
          </cell>
          <cell r="AG29">
            <v>250915.4215</v>
          </cell>
        </row>
        <row r="30">
          <cell r="A30" t="str">
            <v>31500SPVCM0</v>
          </cell>
          <cell r="B30" t="str">
            <v>315.00</v>
          </cell>
          <cell r="C30" t="str">
            <v>Accessory Electric Equipment</v>
          </cell>
          <cell r="D30">
            <v>37042194</v>
          </cell>
          <cell r="E30">
            <v>37087960</v>
          </cell>
          <cell r="F30">
            <v>9995244</v>
          </cell>
          <cell r="G30" t="str">
            <v>VG</v>
          </cell>
          <cell r="H30">
            <v>200</v>
          </cell>
          <cell r="I30" t="str">
            <v>SC</v>
          </cell>
          <cell r="J30">
            <v>52.9</v>
          </cell>
          <cell r="K30">
            <v>19.920000000000002</v>
          </cell>
          <cell r="L30">
            <v>-287.8</v>
          </cell>
          <cell r="M30">
            <v>-5</v>
          </cell>
          <cell r="N30">
            <v>-18</v>
          </cell>
          <cell r="O30">
            <v>-17.3</v>
          </cell>
          <cell r="P30">
            <v>-17.600000000000001</v>
          </cell>
          <cell r="Q30">
            <v>35.5</v>
          </cell>
          <cell r="R30">
            <v>2042</v>
          </cell>
          <cell r="S30">
            <v>2032746.4611</v>
          </cell>
          <cell r="T30">
            <v>7.7</v>
          </cell>
          <cell r="U30">
            <v>295.5</v>
          </cell>
          <cell r="V30">
            <v>7.7</v>
          </cell>
          <cell r="W30">
            <v>295.5</v>
          </cell>
          <cell r="X30">
            <v>-287.8</v>
          </cell>
          <cell r="Y30">
            <v>0</v>
          </cell>
          <cell r="Z30">
            <v>44561</v>
          </cell>
          <cell r="AA30">
            <v>23116923.379999999</v>
          </cell>
          <cell r="AB30">
            <v>23447756.382100001</v>
          </cell>
          <cell r="AC30">
            <v>101637.32309999999</v>
          </cell>
          <cell r="AD30">
            <v>101637.32309999999</v>
          </cell>
          <cell r="AE30">
            <v>63433.825299999997</v>
          </cell>
          <cell r="AF30">
            <v>822336.70680000004</v>
          </cell>
          <cell r="AG30">
            <v>1003843.4574</v>
          </cell>
        </row>
        <row r="31">
          <cell r="A31" t="str">
            <v>31600SPVCM0</v>
          </cell>
          <cell r="B31" t="str">
            <v>316.00</v>
          </cell>
          <cell r="C31" t="str">
            <v>Miscellaneous Power Plant Equip.</v>
          </cell>
          <cell r="D31">
            <v>9659424</v>
          </cell>
          <cell r="E31">
            <v>9798103</v>
          </cell>
          <cell r="F31">
            <v>3805330</v>
          </cell>
          <cell r="G31" t="str">
            <v>VG</v>
          </cell>
          <cell r="H31">
            <v>200</v>
          </cell>
          <cell r="I31" t="str">
            <v>SC</v>
          </cell>
          <cell r="J31">
            <v>41.22</v>
          </cell>
          <cell r="K31">
            <v>19.940000000000001</v>
          </cell>
          <cell r="L31">
            <v>-10.1</v>
          </cell>
          <cell r="M31">
            <v>-5</v>
          </cell>
          <cell r="N31">
            <v>-18</v>
          </cell>
          <cell r="O31">
            <v>-17.3</v>
          </cell>
          <cell r="P31">
            <v>-17.2</v>
          </cell>
          <cell r="Q31">
            <v>27.6</v>
          </cell>
          <cell r="R31">
            <v>2042</v>
          </cell>
          <cell r="S31">
            <v>519388.63319999998</v>
          </cell>
          <cell r="T31">
            <v>0</v>
          </cell>
          <cell r="U31">
            <v>10.1</v>
          </cell>
          <cell r="V31">
            <v>0</v>
          </cell>
          <cell r="W31">
            <v>10.1</v>
          </cell>
          <cell r="X31">
            <v>-10.1</v>
          </cell>
          <cell r="Y31">
            <v>0</v>
          </cell>
          <cell r="Z31">
            <v>44561</v>
          </cell>
          <cell r="AA31">
            <v>4990221.63</v>
          </cell>
          <cell r="AB31">
            <v>5075077.3848999999</v>
          </cell>
          <cell r="AC31">
            <v>25969.431799999998</v>
          </cell>
          <cell r="AD31">
            <v>25969.431799999998</v>
          </cell>
          <cell r="AE31">
            <v>13574.0209</v>
          </cell>
          <cell r="AF31">
            <v>274327.64159999997</v>
          </cell>
          <cell r="AG31">
            <v>313931.28000000003</v>
          </cell>
        </row>
        <row r="32">
          <cell r="A32" t="str">
            <v>31100SNT003</v>
          </cell>
          <cell r="B32" t="str">
            <v>311.00</v>
          </cell>
          <cell r="C32" t="str">
            <v>Structures and Improvements</v>
          </cell>
          <cell r="D32">
            <v>1321846</v>
          </cell>
          <cell r="E32">
            <v>1752841</v>
          </cell>
          <cell r="F32">
            <v>739795</v>
          </cell>
          <cell r="G32" t="str">
            <v>VG</v>
          </cell>
          <cell r="H32">
            <v>200</v>
          </cell>
          <cell r="I32" t="str">
            <v>SC</v>
          </cell>
          <cell r="J32">
            <v>17.71</v>
          </cell>
          <cell r="K32">
            <v>10.36</v>
          </cell>
          <cell r="L32">
            <v>-18.2</v>
          </cell>
          <cell r="M32">
            <v>-10</v>
          </cell>
          <cell r="N32">
            <v>-9.1999999999999993</v>
          </cell>
          <cell r="O32">
            <v>-9.1999999999999993</v>
          </cell>
          <cell r="P32">
            <v>-11.4</v>
          </cell>
          <cell r="Q32">
            <v>18.100000000000001</v>
          </cell>
          <cell r="R32">
            <v>2032</v>
          </cell>
          <cell r="S32">
            <v>34756.205099999999</v>
          </cell>
          <cell r="T32">
            <v>0</v>
          </cell>
          <cell r="U32">
            <v>18.2</v>
          </cell>
          <cell r="V32">
            <v>0</v>
          </cell>
          <cell r="W32">
            <v>18.2</v>
          </cell>
          <cell r="X32">
            <v>-18.2</v>
          </cell>
          <cell r="Y32">
            <v>0</v>
          </cell>
          <cell r="Z32">
            <v>44561</v>
          </cell>
          <cell r="AA32">
            <v>801598.57</v>
          </cell>
          <cell r="AB32">
            <v>783761.50690000004</v>
          </cell>
          <cell r="AC32">
            <v>3475.6205</v>
          </cell>
          <cell r="AD32">
            <v>3475.6205</v>
          </cell>
          <cell r="AE32">
            <v>1501.2203</v>
          </cell>
          <cell r="AF32">
            <v>83144.113400000002</v>
          </cell>
          <cell r="AG32">
            <v>63712.977200000001</v>
          </cell>
        </row>
        <row r="33">
          <cell r="A33" t="str">
            <v>31200SNT003</v>
          </cell>
          <cell r="B33" t="str">
            <v>312.00</v>
          </cell>
          <cell r="C33" t="str">
            <v>Boiler Plant Equipment</v>
          </cell>
          <cell r="D33">
            <v>16048972</v>
          </cell>
          <cell r="E33">
            <v>18326125</v>
          </cell>
          <cell r="F33">
            <v>7353519</v>
          </cell>
          <cell r="G33" t="str">
            <v>VG</v>
          </cell>
          <cell r="H33">
            <v>200</v>
          </cell>
          <cell r="I33" t="str">
            <v>SC</v>
          </cell>
          <cell r="J33">
            <v>20.260000000000002</v>
          </cell>
          <cell r="K33">
            <v>10.36</v>
          </cell>
          <cell r="L33">
            <v>4</v>
          </cell>
          <cell r="M33">
            <v>-5</v>
          </cell>
          <cell r="N33">
            <v>-9.1999999999999993</v>
          </cell>
          <cell r="O33">
            <v>-9.1</v>
          </cell>
          <cell r="P33">
            <v>-7.4</v>
          </cell>
          <cell r="Q33">
            <v>21.1</v>
          </cell>
          <cell r="R33">
            <v>2032</v>
          </cell>
          <cell r="S33">
            <v>425221.0184</v>
          </cell>
          <cell r="T33">
            <v>38.1</v>
          </cell>
          <cell r="U33">
            <v>34.1</v>
          </cell>
          <cell r="V33">
            <v>38.1</v>
          </cell>
          <cell r="W33">
            <v>34.1</v>
          </cell>
          <cell r="X33">
            <v>4</v>
          </cell>
          <cell r="Y33">
            <v>0</v>
          </cell>
          <cell r="Z33">
            <v>44561</v>
          </cell>
          <cell r="AA33">
            <v>11518603.8488</v>
          </cell>
          <cell r="AB33">
            <v>11708871.4834</v>
          </cell>
          <cell r="AC33">
            <v>21261.050599999999</v>
          </cell>
          <cell r="AD33">
            <v>21261.050599999999</v>
          </cell>
          <cell r="AE33">
            <v>10713.3987</v>
          </cell>
          <cell r="AF33">
            <v>850595.51599999995</v>
          </cell>
          <cell r="AG33">
            <v>560109.12280000001</v>
          </cell>
        </row>
        <row r="34">
          <cell r="A34" t="str">
            <v>31400SNT003</v>
          </cell>
          <cell r="B34" t="str">
            <v>314.00</v>
          </cell>
          <cell r="C34" t="str">
            <v>Turbogenerator Units</v>
          </cell>
          <cell r="D34">
            <v>15931942</v>
          </cell>
          <cell r="E34">
            <v>17676620</v>
          </cell>
          <cell r="F34">
            <v>6093339</v>
          </cell>
          <cell r="G34" t="str">
            <v>VG</v>
          </cell>
          <cell r="H34">
            <v>200</v>
          </cell>
          <cell r="I34" t="str">
            <v>SC</v>
          </cell>
          <cell r="J34">
            <v>25.47</v>
          </cell>
          <cell r="K34">
            <v>10.36</v>
          </cell>
          <cell r="L34">
            <v>-83.8</v>
          </cell>
          <cell r="M34">
            <v>-5</v>
          </cell>
          <cell r="N34">
            <v>-9.1999999999999993</v>
          </cell>
          <cell r="O34">
            <v>-9.1</v>
          </cell>
          <cell r="P34">
            <v>-16.399999999999999</v>
          </cell>
          <cell r="Q34">
            <v>23.7</v>
          </cell>
          <cell r="R34">
            <v>2032</v>
          </cell>
          <cell r="S34">
            <v>424645.93109999999</v>
          </cell>
          <cell r="T34">
            <v>0</v>
          </cell>
          <cell r="U34">
            <v>83.8</v>
          </cell>
          <cell r="V34">
            <v>0</v>
          </cell>
          <cell r="W34">
            <v>83.8</v>
          </cell>
          <cell r="X34">
            <v>-83.8</v>
          </cell>
          <cell r="Y34">
            <v>0</v>
          </cell>
          <cell r="Z34">
            <v>44561</v>
          </cell>
          <cell r="AA34">
            <v>13724868.2645</v>
          </cell>
          <cell r="AB34">
            <v>13248180.438200001</v>
          </cell>
          <cell r="AC34">
            <v>21232.296399999999</v>
          </cell>
          <cell r="AD34">
            <v>21232.296399999999</v>
          </cell>
          <cell r="AE34">
            <v>12788.434499999999</v>
          </cell>
          <cell r="AF34">
            <v>728089.74939999997</v>
          </cell>
          <cell r="AG34">
            <v>398298.55</v>
          </cell>
        </row>
        <row r="35">
          <cell r="A35" t="str">
            <v>31500SNT003</v>
          </cell>
          <cell r="B35" t="str">
            <v>315.00</v>
          </cell>
          <cell r="C35" t="str">
            <v>Accessory Electric Equipment</v>
          </cell>
          <cell r="D35">
            <v>10714087</v>
          </cell>
          <cell r="E35">
            <v>13600014</v>
          </cell>
          <cell r="F35">
            <v>5598624</v>
          </cell>
          <cell r="G35" t="str">
            <v>VG</v>
          </cell>
          <cell r="H35">
            <v>200</v>
          </cell>
          <cell r="I35" t="str">
            <v>SC</v>
          </cell>
          <cell r="J35">
            <v>18.27</v>
          </cell>
          <cell r="K35">
            <v>10.36</v>
          </cell>
          <cell r="L35">
            <v>-5.0999999999999996</v>
          </cell>
          <cell r="M35">
            <v>-5</v>
          </cell>
          <cell r="N35">
            <v>-9.1999999999999993</v>
          </cell>
          <cell r="O35">
            <v>-9.1</v>
          </cell>
          <cell r="P35">
            <v>-8.1999999999999993</v>
          </cell>
          <cell r="Q35">
            <v>11.4</v>
          </cell>
          <cell r="R35">
            <v>2032</v>
          </cell>
          <cell r="S35">
            <v>275979.58840000001</v>
          </cell>
          <cell r="T35">
            <v>2.6</v>
          </cell>
          <cell r="U35">
            <v>7.7</v>
          </cell>
          <cell r="V35">
            <v>2.6</v>
          </cell>
          <cell r="W35">
            <v>7.7</v>
          </cell>
          <cell r="X35">
            <v>-5.0999999999999996</v>
          </cell>
          <cell r="Y35">
            <v>0</v>
          </cell>
          <cell r="Z35">
            <v>44561</v>
          </cell>
          <cell r="AA35">
            <v>6578207.6699999999</v>
          </cell>
          <cell r="AB35">
            <v>6888232.3561000004</v>
          </cell>
          <cell r="AC35">
            <v>13798.979499999999</v>
          </cell>
          <cell r="AD35">
            <v>13798.979499999999</v>
          </cell>
          <cell r="AE35">
            <v>6033.0965999999999</v>
          </cell>
          <cell r="AF35">
            <v>634273.95039999997</v>
          </cell>
          <cell r="AG35">
            <v>463919.96710000001</v>
          </cell>
        </row>
        <row r="36">
          <cell r="A36" t="str">
            <v>31600SNT003</v>
          </cell>
          <cell r="B36" t="str">
            <v>316.00</v>
          </cell>
          <cell r="C36" t="str">
            <v>Miscellaneous Power Plant Equip.</v>
          </cell>
          <cell r="D36">
            <v>124015</v>
          </cell>
          <cell r="E36">
            <v>195101</v>
          </cell>
          <cell r="F36">
            <v>60182</v>
          </cell>
          <cell r="G36" t="str">
            <v>VG</v>
          </cell>
          <cell r="H36">
            <v>200</v>
          </cell>
          <cell r="I36" t="str">
            <v>SC</v>
          </cell>
          <cell r="J36">
            <v>19.02</v>
          </cell>
          <cell r="K36">
            <v>10.36</v>
          </cell>
          <cell r="L36">
            <v>-0.1</v>
          </cell>
          <cell r="M36">
            <v>-5</v>
          </cell>
          <cell r="N36">
            <v>-9.1999999999999993</v>
          </cell>
          <cell r="O36">
            <v>-9.1</v>
          </cell>
          <cell r="P36">
            <v>-5.8</v>
          </cell>
          <cell r="Q36">
            <v>11.5</v>
          </cell>
          <cell r="R36">
            <v>2032</v>
          </cell>
          <cell r="S36">
            <v>3194.6378</v>
          </cell>
          <cell r="T36">
            <v>0</v>
          </cell>
          <cell r="U36">
            <v>0.1</v>
          </cell>
          <cell r="V36">
            <v>0</v>
          </cell>
          <cell r="W36">
            <v>0.1</v>
          </cell>
          <cell r="X36">
            <v>-0.1</v>
          </cell>
          <cell r="Y36">
            <v>0</v>
          </cell>
          <cell r="Z36">
            <v>44561</v>
          </cell>
          <cell r="AA36">
            <v>91721.52</v>
          </cell>
          <cell r="AB36">
            <v>85954.088799999998</v>
          </cell>
          <cell r="AC36">
            <v>159.732</v>
          </cell>
          <cell r="AD36">
            <v>159.732</v>
          </cell>
          <cell r="AE36">
            <v>73.240399999999994</v>
          </cell>
          <cell r="AF36">
            <v>6895.2340000000004</v>
          </cell>
          <cell r="AG36">
            <v>4762.1760000000004</v>
          </cell>
        </row>
        <row r="37">
          <cell r="A37" t="str">
            <v>31100SNT004</v>
          </cell>
          <cell r="B37" t="str">
            <v>311.00</v>
          </cell>
          <cell r="C37" t="str">
            <v>Structures and Improvements</v>
          </cell>
          <cell r="D37">
            <v>5059238</v>
          </cell>
          <cell r="E37">
            <v>6035942</v>
          </cell>
          <cell r="F37">
            <v>2616648</v>
          </cell>
          <cell r="G37" t="str">
            <v>VG</v>
          </cell>
          <cell r="H37">
            <v>200</v>
          </cell>
          <cell r="I37" t="str">
            <v>SC</v>
          </cell>
          <cell r="J37">
            <v>46.07</v>
          </cell>
          <cell r="K37">
            <v>25.57</v>
          </cell>
          <cell r="L37">
            <v>-8.3000000000000007</v>
          </cell>
          <cell r="M37">
            <v>-10</v>
          </cell>
          <cell r="N37">
            <v>-8.4</v>
          </cell>
          <cell r="O37">
            <v>-8.5</v>
          </cell>
          <cell r="P37">
            <v>-8.5</v>
          </cell>
          <cell r="Q37">
            <v>25.5</v>
          </cell>
          <cell r="R37">
            <v>2048</v>
          </cell>
          <cell r="S37">
            <v>351559.13890000002</v>
          </cell>
          <cell r="T37">
            <v>0</v>
          </cell>
          <cell r="U37">
            <v>8.3000000000000007</v>
          </cell>
          <cell r="V37">
            <v>0</v>
          </cell>
          <cell r="W37">
            <v>8.3000000000000007</v>
          </cell>
          <cell r="X37">
            <v>-8.3000000000000007</v>
          </cell>
          <cell r="Y37">
            <v>0</v>
          </cell>
          <cell r="Z37">
            <v>44561</v>
          </cell>
          <cell r="AA37">
            <v>3383962.55</v>
          </cell>
          <cell r="AB37">
            <v>2904484.7396999998</v>
          </cell>
          <cell r="AC37">
            <v>35155.913699999997</v>
          </cell>
          <cell r="AD37">
            <v>35155.913699999997</v>
          </cell>
          <cell r="AE37">
            <v>15807.5016</v>
          </cell>
          <cell r="AF37">
            <v>119398.0168</v>
          </cell>
          <cell r="AG37">
            <v>101184.76</v>
          </cell>
        </row>
        <row r="38">
          <cell r="A38" t="str">
            <v>31200SNT004</v>
          </cell>
          <cell r="B38" t="str">
            <v>312.00</v>
          </cell>
          <cell r="C38" t="str">
            <v>Boiler Plant Equipment</v>
          </cell>
          <cell r="D38">
            <v>85354204</v>
          </cell>
          <cell r="E38">
            <v>95179555</v>
          </cell>
          <cell r="F38">
            <v>45003123</v>
          </cell>
          <cell r="G38" t="str">
            <v>VG</v>
          </cell>
          <cell r="H38">
            <v>200</v>
          </cell>
          <cell r="I38" t="str">
            <v>SC</v>
          </cell>
          <cell r="J38">
            <v>48.33</v>
          </cell>
          <cell r="K38">
            <v>25.56</v>
          </cell>
          <cell r="L38">
            <v>-76.8</v>
          </cell>
          <cell r="M38">
            <v>-5</v>
          </cell>
          <cell r="N38">
            <v>-8.4</v>
          </cell>
          <cell r="O38">
            <v>-8.1999999999999993</v>
          </cell>
          <cell r="P38">
            <v>-15.2</v>
          </cell>
          <cell r="Q38">
            <v>29.4</v>
          </cell>
          <cell r="R38">
            <v>2048</v>
          </cell>
          <cell r="S38">
            <v>5996478.1366999997</v>
          </cell>
          <cell r="T38">
            <v>6.3</v>
          </cell>
          <cell r="U38">
            <v>83.1</v>
          </cell>
          <cell r="V38">
            <v>6.3</v>
          </cell>
          <cell r="W38">
            <v>83.1</v>
          </cell>
          <cell r="X38">
            <v>-76.8</v>
          </cell>
          <cell r="Y38">
            <v>0</v>
          </cell>
          <cell r="Z38">
            <v>44561</v>
          </cell>
          <cell r="AA38">
            <v>46093551.035499997</v>
          </cell>
          <cell r="AB38">
            <v>47981494.697099999</v>
          </cell>
          <cell r="AC38">
            <v>299823.9068</v>
          </cell>
          <cell r="AD38">
            <v>299823.9068</v>
          </cell>
          <cell r="AE38">
            <v>143106.4534</v>
          </cell>
          <cell r="AF38">
            <v>2031430.0552000001</v>
          </cell>
          <cell r="AG38">
            <v>1732690.3411999999</v>
          </cell>
        </row>
        <row r="39">
          <cell r="A39" t="str">
            <v>31400SNT004</v>
          </cell>
          <cell r="B39" t="str">
            <v>314.00</v>
          </cell>
          <cell r="C39" t="str">
            <v>Turbogenerator Units</v>
          </cell>
          <cell r="D39">
            <v>22707091</v>
          </cell>
          <cell r="E39">
            <v>25215890</v>
          </cell>
          <cell r="F39">
            <v>15533143</v>
          </cell>
          <cell r="G39" t="str">
            <v>VG</v>
          </cell>
          <cell r="H39">
            <v>200</v>
          </cell>
          <cell r="I39" t="str">
            <v>SC</v>
          </cell>
          <cell r="J39">
            <v>37.58</v>
          </cell>
          <cell r="K39">
            <v>25.59</v>
          </cell>
          <cell r="L39">
            <v>-52.2</v>
          </cell>
          <cell r="M39">
            <v>-5</v>
          </cell>
          <cell r="N39">
            <v>-8.4</v>
          </cell>
          <cell r="O39">
            <v>-8.1999999999999993</v>
          </cell>
          <cell r="P39">
            <v>-12.5</v>
          </cell>
          <cell r="Q39">
            <v>17.899999999999999</v>
          </cell>
          <cell r="R39">
            <v>2048</v>
          </cell>
          <cell r="S39">
            <v>1548757.1740999999</v>
          </cell>
          <cell r="T39">
            <v>0</v>
          </cell>
          <cell r="U39">
            <v>52.2</v>
          </cell>
          <cell r="V39">
            <v>0</v>
          </cell>
          <cell r="W39">
            <v>52.2</v>
          </cell>
          <cell r="X39">
            <v>-52.2</v>
          </cell>
          <cell r="Y39">
            <v>0</v>
          </cell>
          <cell r="Z39">
            <v>44561</v>
          </cell>
          <cell r="AA39">
            <v>9151901.3048</v>
          </cell>
          <cell r="AB39">
            <v>8530546.2964999992</v>
          </cell>
          <cell r="AC39">
            <v>77437.858999999997</v>
          </cell>
          <cell r="AD39">
            <v>77437.858999999997</v>
          </cell>
          <cell r="AE39">
            <v>25393.891</v>
          </cell>
          <cell r="AF39">
            <v>678942.0209</v>
          </cell>
          <cell r="AG39">
            <v>626715.71160000004</v>
          </cell>
        </row>
        <row r="40">
          <cell r="A40" t="str">
            <v>31500SNT004</v>
          </cell>
          <cell r="B40" t="str">
            <v>315.00</v>
          </cell>
          <cell r="C40" t="str">
            <v>Accessory Electric Equipment</v>
          </cell>
          <cell r="D40">
            <v>11640621</v>
          </cell>
          <cell r="E40">
            <v>20873929</v>
          </cell>
          <cell r="F40">
            <v>7232591</v>
          </cell>
          <cell r="G40" t="str">
            <v>VG</v>
          </cell>
          <cell r="H40">
            <v>200</v>
          </cell>
          <cell r="I40" t="str">
            <v>SC</v>
          </cell>
          <cell r="J40">
            <v>38.24</v>
          </cell>
          <cell r="K40">
            <v>25.59</v>
          </cell>
          <cell r="L40">
            <v>-1.2</v>
          </cell>
          <cell r="M40">
            <v>-5</v>
          </cell>
          <cell r="N40">
            <v>-8.4</v>
          </cell>
          <cell r="O40">
            <v>-8.1999999999999993</v>
          </cell>
          <cell r="P40">
            <v>-5.0999999999999996</v>
          </cell>
          <cell r="Q40">
            <v>17.600000000000001</v>
          </cell>
          <cell r="R40">
            <v>2048</v>
          </cell>
          <cell r="S40">
            <v>792476.73629999999</v>
          </cell>
          <cell r="T40">
            <v>0</v>
          </cell>
          <cell r="U40">
            <v>1.2</v>
          </cell>
          <cell r="V40">
            <v>0</v>
          </cell>
          <cell r="W40">
            <v>1.2</v>
          </cell>
          <cell r="X40">
            <v>-1.2</v>
          </cell>
          <cell r="Y40">
            <v>0</v>
          </cell>
          <cell r="Z40">
            <v>44561</v>
          </cell>
          <cell r="AA40">
            <v>6022203.2000000002</v>
          </cell>
          <cell r="AB40">
            <v>5241590.9378000004</v>
          </cell>
          <cell r="AC40">
            <v>39623.837</v>
          </cell>
          <cell r="AD40">
            <v>39623.837</v>
          </cell>
          <cell r="AE40">
            <v>13335.897800000001</v>
          </cell>
          <cell r="AF40">
            <v>320117.07750000001</v>
          </cell>
          <cell r="AG40">
            <v>287523.33870000002</v>
          </cell>
        </row>
        <row r="41">
          <cell r="A41" t="str">
            <v>31600SNT004</v>
          </cell>
          <cell r="B41" t="str">
            <v>316.00</v>
          </cell>
          <cell r="C41" t="str">
            <v>Miscellaneous Power Plant Equip.</v>
          </cell>
          <cell r="D41">
            <v>273057</v>
          </cell>
          <cell r="E41">
            <v>498232</v>
          </cell>
          <cell r="F41">
            <v>188769</v>
          </cell>
          <cell r="G41" t="str">
            <v>VG</v>
          </cell>
          <cell r="H41">
            <v>200</v>
          </cell>
          <cell r="I41" t="str">
            <v>SC</v>
          </cell>
          <cell r="J41">
            <v>34.659999999999997</v>
          </cell>
          <cell r="K41">
            <v>25.6</v>
          </cell>
          <cell r="L41">
            <v>-0.6</v>
          </cell>
          <cell r="M41">
            <v>-5</v>
          </cell>
          <cell r="N41">
            <v>-8.4</v>
          </cell>
          <cell r="O41">
            <v>-8.1999999999999993</v>
          </cell>
          <cell r="P41">
            <v>-4.7</v>
          </cell>
          <cell r="Q41">
            <v>9.9</v>
          </cell>
          <cell r="R41">
            <v>2048</v>
          </cell>
          <cell r="S41">
            <v>18201.515599999999</v>
          </cell>
          <cell r="T41">
            <v>0</v>
          </cell>
          <cell r="U41">
            <v>0.6</v>
          </cell>
          <cell r="V41">
            <v>0</v>
          </cell>
          <cell r="W41">
            <v>0.6</v>
          </cell>
          <cell r="X41">
            <v>-0.6</v>
          </cell>
          <cell r="Y41">
            <v>0</v>
          </cell>
          <cell r="Z41">
            <v>44561</v>
          </cell>
          <cell r="AA41">
            <v>106725.25</v>
          </cell>
          <cell r="AB41">
            <v>100226.66929999999</v>
          </cell>
          <cell r="AC41">
            <v>910.07560000000001</v>
          </cell>
          <cell r="AD41">
            <v>910.07560000000001</v>
          </cell>
          <cell r="AE41">
            <v>238.2527</v>
          </cell>
          <cell r="AF41">
            <v>8246.3214000000007</v>
          </cell>
          <cell r="AG41">
            <v>7618.2902999999997</v>
          </cell>
        </row>
        <row r="42">
          <cell r="A42" t="str">
            <v>310RWSNTCM0</v>
          </cell>
          <cell r="B42" t="str">
            <v>310.RW</v>
          </cell>
          <cell r="C42" t="str">
            <v>Rights of Way</v>
          </cell>
          <cell r="D42">
            <v>189059</v>
          </cell>
          <cell r="E42">
            <v>189059</v>
          </cell>
          <cell r="F42">
            <v>171421</v>
          </cell>
          <cell r="G42" t="str">
            <v>VG</v>
          </cell>
          <cell r="H42">
            <v>200</v>
          </cell>
          <cell r="I42" t="str">
            <v>SC</v>
          </cell>
          <cell r="J42">
            <v>45.34</v>
          </cell>
          <cell r="K42">
            <v>41.11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4.8</v>
          </cell>
          <cell r="R42">
            <v>2065</v>
          </cell>
          <cell r="S42">
            <v>20573.780299999999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44561</v>
          </cell>
          <cell r="AA42">
            <v>24812.92</v>
          </cell>
          <cell r="AB42">
            <v>55662.052499999998</v>
          </cell>
          <cell r="AC42">
            <v>0</v>
          </cell>
          <cell r="AD42">
            <v>0</v>
          </cell>
          <cell r="AE42">
            <v>0</v>
          </cell>
          <cell r="AF42">
            <v>4178.2039000000004</v>
          </cell>
          <cell r="AG42">
            <v>3251.8148000000001</v>
          </cell>
        </row>
        <row r="43">
          <cell r="A43" t="str">
            <v>31100SNTCM0</v>
          </cell>
          <cell r="B43" t="str">
            <v>311.00</v>
          </cell>
          <cell r="C43" t="str">
            <v>Structures and Improvements</v>
          </cell>
          <cell r="D43">
            <v>31870103</v>
          </cell>
          <cell r="E43">
            <v>33633949</v>
          </cell>
          <cell r="F43">
            <v>23149324</v>
          </cell>
          <cell r="G43" t="str">
            <v>VG</v>
          </cell>
          <cell r="H43">
            <v>200</v>
          </cell>
          <cell r="I43" t="str">
            <v>SC</v>
          </cell>
          <cell r="J43">
            <v>55.58</v>
          </cell>
          <cell r="K43">
            <v>41.03</v>
          </cell>
          <cell r="L43">
            <v>-239.3</v>
          </cell>
          <cell r="M43">
            <v>-10</v>
          </cell>
          <cell r="N43">
            <v>-37.9</v>
          </cell>
          <cell r="O43">
            <v>-34.700000000000003</v>
          </cell>
          <cell r="P43">
            <v>-45.4</v>
          </cell>
          <cell r="Q43">
            <v>20.399999999999999</v>
          </cell>
          <cell r="R43">
            <v>2065</v>
          </cell>
          <cell r="S43">
            <v>3619005.8078000001</v>
          </cell>
          <cell r="T43">
            <v>8.6999999999999993</v>
          </cell>
          <cell r="U43">
            <v>248</v>
          </cell>
          <cell r="V43">
            <v>8.6999999999999993</v>
          </cell>
          <cell r="W43">
            <v>248</v>
          </cell>
          <cell r="X43">
            <v>-239.3</v>
          </cell>
          <cell r="Y43">
            <v>0</v>
          </cell>
          <cell r="Z43">
            <v>44561</v>
          </cell>
          <cell r="AA43">
            <v>12403742.23</v>
          </cell>
          <cell r="AB43">
            <v>27520626.284600001</v>
          </cell>
          <cell r="AC43">
            <v>361900.5809</v>
          </cell>
          <cell r="AD43">
            <v>361900.5809</v>
          </cell>
          <cell r="AE43">
            <v>97747.507400000002</v>
          </cell>
          <cell r="AF43">
            <v>834996.6986</v>
          </cell>
          <cell r="AG43">
            <v>376067.21539999999</v>
          </cell>
        </row>
        <row r="44">
          <cell r="A44" t="str">
            <v>31200SNTCM0</v>
          </cell>
          <cell r="B44" t="str">
            <v>312.00</v>
          </cell>
          <cell r="C44" t="str">
            <v>Boiler Plant Equipment</v>
          </cell>
          <cell r="D44">
            <v>8705886</v>
          </cell>
          <cell r="E44">
            <v>9039708</v>
          </cell>
          <cell r="F44">
            <v>13683132</v>
          </cell>
          <cell r="G44" t="str">
            <v>VG</v>
          </cell>
          <cell r="H44">
            <v>200</v>
          </cell>
          <cell r="I44" t="str">
            <v>SC</v>
          </cell>
          <cell r="J44">
            <v>48.01</v>
          </cell>
          <cell r="K44">
            <v>41.09</v>
          </cell>
          <cell r="L44">
            <v>-2453.4</v>
          </cell>
          <cell r="M44">
            <v>-5</v>
          </cell>
          <cell r="N44">
            <v>-37.9</v>
          </cell>
          <cell r="O44">
            <v>-34.200000000000003</v>
          </cell>
          <cell r="P44">
            <v>-123.6</v>
          </cell>
          <cell r="Q44">
            <v>9.1999999999999993</v>
          </cell>
          <cell r="R44">
            <v>2065</v>
          </cell>
          <cell r="S44">
            <v>958529.93259999994</v>
          </cell>
          <cell r="T44">
            <v>32.799999999999997</v>
          </cell>
          <cell r="U44">
            <v>2486.1999999999998</v>
          </cell>
          <cell r="V44">
            <v>32.799999999999997</v>
          </cell>
          <cell r="W44">
            <v>2486.1999999999998</v>
          </cell>
          <cell r="X44">
            <v>-2453.4</v>
          </cell>
          <cell r="Y44">
            <v>0</v>
          </cell>
          <cell r="Z44">
            <v>44561</v>
          </cell>
          <cell r="AA44">
            <v>2171448.92</v>
          </cell>
          <cell r="AB44">
            <v>-15706959.911699999</v>
          </cell>
          <cell r="AC44">
            <v>47926.496700000003</v>
          </cell>
          <cell r="AD44">
            <v>47926.496700000003</v>
          </cell>
          <cell r="AE44">
            <v>7064.3837000000003</v>
          </cell>
          <cell r="AF44">
            <v>405694.28759999998</v>
          </cell>
          <cell r="AG44">
            <v>666870.8676</v>
          </cell>
        </row>
        <row r="45">
          <cell r="A45" t="str">
            <v>31400SNTCM0</v>
          </cell>
          <cell r="B45" t="str">
            <v>314.00</v>
          </cell>
          <cell r="C45" t="str">
            <v>Turbogenerator Units</v>
          </cell>
          <cell r="D45">
            <v>1254168</v>
          </cell>
          <cell r="E45">
            <v>1254684</v>
          </cell>
          <cell r="F45">
            <v>1502944</v>
          </cell>
          <cell r="G45" t="str">
            <v>VG</v>
          </cell>
          <cell r="H45">
            <v>200</v>
          </cell>
          <cell r="I45" t="str">
            <v>SC</v>
          </cell>
          <cell r="J45">
            <v>46.93</v>
          </cell>
          <cell r="K45">
            <v>41.1</v>
          </cell>
          <cell r="L45">
            <v>-101499.5</v>
          </cell>
          <cell r="M45">
            <v>-5</v>
          </cell>
          <cell r="N45">
            <v>-37.9</v>
          </cell>
          <cell r="O45">
            <v>-34.299999999999997</v>
          </cell>
          <cell r="P45">
            <v>-76</v>
          </cell>
          <cell r="Q45">
            <v>7</v>
          </cell>
          <cell r="R45">
            <v>2065</v>
          </cell>
          <cell r="S45">
            <v>137250.31479999999</v>
          </cell>
          <cell r="T45">
            <v>-2724.9</v>
          </cell>
          <cell r="U45">
            <v>98774.6</v>
          </cell>
          <cell r="V45">
            <v>-2724.9</v>
          </cell>
          <cell r="W45">
            <v>98774.6</v>
          </cell>
          <cell r="X45">
            <v>-101499.5</v>
          </cell>
          <cell r="Y45">
            <v>0</v>
          </cell>
          <cell r="Z45">
            <v>44561</v>
          </cell>
          <cell r="AA45">
            <v>221316.4203</v>
          </cell>
          <cell r="AB45">
            <v>-785075.9375</v>
          </cell>
          <cell r="AC45">
            <v>6862.5156999999999</v>
          </cell>
          <cell r="AD45">
            <v>6862.5156999999999</v>
          </cell>
          <cell r="AE45">
            <v>861.32119999999998</v>
          </cell>
          <cell r="AF45">
            <v>47031.3</v>
          </cell>
          <cell r="AG45">
            <v>60074.647199999999</v>
          </cell>
        </row>
        <row r="46">
          <cell r="A46" t="str">
            <v>31500SNTCM0</v>
          </cell>
          <cell r="B46" t="str">
            <v>315.00</v>
          </cell>
          <cell r="C46" t="str">
            <v>Accessory Electric Equipment</v>
          </cell>
          <cell r="D46">
            <v>6015922</v>
          </cell>
          <cell r="E46">
            <v>6102082</v>
          </cell>
          <cell r="F46">
            <v>4419034</v>
          </cell>
          <cell r="G46" t="str">
            <v>VG</v>
          </cell>
          <cell r="H46">
            <v>200</v>
          </cell>
          <cell r="I46" t="str">
            <v>SC</v>
          </cell>
          <cell r="J46">
            <v>53.04</v>
          </cell>
          <cell r="K46">
            <v>41.05</v>
          </cell>
          <cell r="L46">
            <v>-380.5</v>
          </cell>
          <cell r="M46">
            <v>-5</v>
          </cell>
          <cell r="N46">
            <v>-37.9</v>
          </cell>
          <cell r="O46">
            <v>-34.200000000000003</v>
          </cell>
          <cell r="P46">
            <v>-39.1</v>
          </cell>
          <cell r="Q46">
            <v>15.3</v>
          </cell>
          <cell r="R46">
            <v>2065</v>
          </cell>
          <cell r="S46">
            <v>673036.09739999997</v>
          </cell>
          <cell r="T46">
            <v>-1.5</v>
          </cell>
          <cell r="U46">
            <v>379</v>
          </cell>
          <cell r="V46">
            <v>-1.5</v>
          </cell>
          <cell r="W46">
            <v>379</v>
          </cell>
          <cell r="X46">
            <v>-380.5</v>
          </cell>
          <cell r="Y46">
            <v>0</v>
          </cell>
          <cell r="Z46">
            <v>44561</v>
          </cell>
          <cell r="AA46">
            <v>2733348.17</v>
          </cell>
          <cell r="AB46">
            <v>5039384.6486999998</v>
          </cell>
          <cell r="AC46">
            <v>33651.805</v>
          </cell>
          <cell r="AD46">
            <v>33651.805</v>
          </cell>
          <cell r="AE46">
            <v>7739.0010000000002</v>
          </cell>
          <cell r="AF46">
            <v>157617.15640000001</v>
          </cell>
          <cell r="AG46">
            <v>73995.840599999996</v>
          </cell>
        </row>
        <row r="47">
          <cell r="A47" t="str">
            <v>31600SNTCM0</v>
          </cell>
          <cell r="B47" t="str">
            <v>316.00</v>
          </cell>
          <cell r="C47" t="str">
            <v>Miscellaneous Power Plant Equip.</v>
          </cell>
          <cell r="D47">
            <v>4623665</v>
          </cell>
          <cell r="E47">
            <v>4670000</v>
          </cell>
          <cell r="F47">
            <v>3711919</v>
          </cell>
          <cell r="G47" t="str">
            <v>VG</v>
          </cell>
          <cell r="H47">
            <v>200</v>
          </cell>
          <cell r="I47" t="str">
            <v>SC</v>
          </cell>
          <cell r="J47">
            <v>48.06</v>
          </cell>
          <cell r="K47">
            <v>41.09</v>
          </cell>
          <cell r="L47">
            <v>-1.8</v>
          </cell>
          <cell r="M47">
            <v>-5</v>
          </cell>
          <cell r="N47">
            <v>-37.9</v>
          </cell>
          <cell r="O47">
            <v>-34.200000000000003</v>
          </cell>
          <cell r="P47">
            <v>-33.9</v>
          </cell>
          <cell r="Q47">
            <v>10.1</v>
          </cell>
          <cell r="R47">
            <v>2065</v>
          </cell>
          <cell r="S47">
            <v>510636.58380000002</v>
          </cell>
          <cell r="T47">
            <v>0</v>
          </cell>
          <cell r="U47">
            <v>1.8</v>
          </cell>
          <cell r="V47">
            <v>0</v>
          </cell>
          <cell r="W47">
            <v>1.8</v>
          </cell>
          <cell r="X47">
            <v>-1.8</v>
          </cell>
          <cell r="Y47">
            <v>0</v>
          </cell>
          <cell r="Z47">
            <v>44561</v>
          </cell>
          <cell r="AA47">
            <v>1446214.12</v>
          </cell>
          <cell r="AB47">
            <v>2877245.6436999999</v>
          </cell>
          <cell r="AC47">
            <v>25531.829000000002</v>
          </cell>
          <cell r="AD47">
            <v>25531.829000000002</v>
          </cell>
          <cell r="AE47">
            <v>3845.4142999999999</v>
          </cell>
          <cell r="AF47">
            <v>129000.25350000001</v>
          </cell>
          <cell r="AG47">
            <v>80914.137499999997</v>
          </cell>
        </row>
        <row r="48">
          <cell r="A48" t="str">
            <v>34100DMG001</v>
          </cell>
          <cell r="B48" t="str">
            <v>341.00</v>
          </cell>
          <cell r="C48" t="str">
            <v>Structures and Improvements</v>
          </cell>
          <cell r="D48">
            <v>1067312</v>
          </cell>
          <cell r="E48">
            <v>1358365</v>
          </cell>
          <cell r="F48">
            <v>787189</v>
          </cell>
          <cell r="G48" t="str">
            <v>VG</v>
          </cell>
          <cell r="H48">
            <v>200</v>
          </cell>
          <cell r="I48" t="str">
            <v>SC</v>
          </cell>
          <cell r="J48">
            <v>31.71</v>
          </cell>
          <cell r="K48">
            <v>23.73</v>
          </cell>
          <cell r="L48">
            <v>-2</v>
          </cell>
          <cell r="M48">
            <v>0</v>
          </cell>
          <cell r="N48">
            <v>-3.6</v>
          </cell>
          <cell r="O48">
            <v>-3.4</v>
          </cell>
          <cell r="P48">
            <v>-3.1</v>
          </cell>
          <cell r="Q48">
            <v>10.199999999999999</v>
          </cell>
          <cell r="R48">
            <v>2046</v>
          </cell>
          <cell r="S48">
            <v>65735.186900000001</v>
          </cell>
          <cell r="T48">
            <v>0</v>
          </cell>
          <cell r="U48">
            <v>2</v>
          </cell>
          <cell r="V48">
            <v>0</v>
          </cell>
          <cell r="W48">
            <v>2</v>
          </cell>
          <cell r="X48">
            <v>-2</v>
          </cell>
          <cell r="Y48">
            <v>0</v>
          </cell>
          <cell r="Z48">
            <v>44561</v>
          </cell>
          <cell r="AA48">
            <v>250126.15</v>
          </cell>
          <cell r="AB48">
            <v>303768.88400000002</v>
          </cell>
          <cell r="AC48">
            <v>0</v>
          </cell>
          <cell r="AD48">
            <v>0</v>
          </cell>
          <cell r="AE48">
            <v>0</v>
          </cell>
          <cell r="AF48">
            <v>34687.64</v>
          </cell>
          <cell r="AG48">
            <v>33727.059200000003</v>
          </cell>
        </row>
        <row r="49">
          <cell r="A49" t="str">
            <v>34200DMG001</v>
          </cell>
          <cell r="B49" t="str">
            <v>342.00</v>
          </cell>
          <cell r="C49" t="str">
            <v>Fuel Holders and Accessories</v>
          </cell>
          <cell r="D49">
            <v>750386</v>
          </cell>
          <cell r="E49">
            <v>758487</v>
          </cell>
          <cell r="F49">
            <v>402414</v>
          </cell>
          <cell r="G49" t="str">
            <v>VG</v>
          </cell>
          <cell r="H49">
            <v>200</v>
          </cell>
          <cell r="I49" t="str">
            <v>SC</v>
          </cell>
          <cell r="J49">
            <v>42.99</v>
          </cell>
          <cell r="K49">
            <v>23.71</v>
          </cell>
          <cell r="L49">
            <v>0</v>
          </cell>
          <cell r="M49">
            <v>0</v>
          </cell>
          <cell r="N49">
            <v>-3.6</v>
          </cell>
          <cell r="O49">
            <v>-3.4</v>
          </cell>
          <cell r="P49">
            <v>-3.4</v>
          </cell>
          <cell r="Q49">
            <v>20.5</v>
          </cell>
          <cell r="R49">
            <v>2046</v>
          </cell>
          <cell r="S49">
            <v>47455.272799999999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44561</v>
          </cell>
          <cell r="AA49">
            <v>381194.35</v>
          </cell>
          <cell r="AB49">
            <v>377345.04859999998</v>
          </cell>
          <cell r="AC49">
            <v>0</v>
          </cell>
          <cell r="AD49">
            <v>0</v>
          </cell>
          <cell r="AE49">
            <v>0</v>
          </cell>
          <cell r="AF49">
            <v>18084.302599999999</v>
          </cell>
          <cell r="AG49">
            <v>16808.646400000001</v>
          </cell>
        </row>
        <row r="50">
          <cell r="A50" t="str">
            <v>34300DMG001</v>
          </cell>
          <cell r="B50" t="str">
            <v>343.00</v>
          </cell>
          <cell r="C50" t="str">
            <v>Prime Movers</v>
          </cell>
          <cell r="D50">
            <v>273354</v>
          </cell>
          <cell r="E50">
            <v>724625</v>
          </cell>
          <cell r="F50">
            <v>213169</v>
          </cell>
          <cell r="G50" t="str">
            <v>VG</v>
          </cell>
          <cell r="H50">
            <v>200</v>
          </cell>
          <cell r="I50" t="str">
            <v>SC</v>
          </cell>
          <cell r="J50">
            <v>29.55</v>
          </cell>
          <cell r="K50">
            <v>23.74</v>
          </cell>
          <cell r="L50">
            <v>0</v>
          </cell>
          <cell r="M50">
            <v>0</v>
          </cell>
          <cell r="N50">
            <v>-3.6</v>
          </cell>
          <cell r="O50">
            <v>-3.4</v>
          </cell>
          <cell r="P50">
            <v>-1.3</v>
          </cell>
          <cell r="Q50">
            <v>6.5</v>
          </cell>
          <cell r="R50">
            <v>2046</v>
          </cell>
          <cell r="S50">
            <v>16671.836899999998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44561</v>
          </cell>
          <cell r="AA50">
            <v>60334.81</v>
          </cell>
          <cell r="AB50">
            <v>65265.1224</v>
          </cell>
          <cell r="AC50">
            <v>0</v>
          </cell>
          <cell r="AD50">
            <v>0</v>
          </cell>
          <cell r="AE50">
            <v>0</v>
          </cell>
          <cell r="AF50">
            <v>9376.0421999999999</v>
          </cell>
          <cell r="AG50">
            <v>9157.3590000000004</v>
          </cell>
        </row>
        <row r="51">
          <cell r="A51" t="str">
            <v>34400DMG001</v>
          </cell>
          <cell r="B51" t="str">
            <v>344.00</v>
          </cell>
          <cell r="C51" t="str">
            <v>Generators</v>
          </cell>
          <cell r="D51">
            <v>30862529</v>
          </cell>
          <cell r="E51">
            <v>31840933</v>
          </cell>
          <cell r="F51">
            <v>16649066</v>
          </cell>
          <cell r="G51" t="str">
            <v>VG</v>
          </cell>
          <cell r="H51">
            <v>200</v>
          </cell>
          <cell r="I51" t="str">
            <v>SC</v>
          </cell>
          <cell r="J51">
            <v>42.71</v>
          </cell>
          <cell r="K51">
            <v>23.71</v>
          </cell>
          <cell r="L51">
            <v>0</v>
          </cell>
          <cell r="M51">
            <v>0</v>
          </cell>
          <cell r="N51">
            <v>-3.6</v>
          </cell>
          <cell r="O51">
            <v>-3.4</v>
          </cell>
          <cell r="P51">
            <v>-3.3</v>
          </cell>
          <cell r="Q51">
            <v>20.3</v>
          </cell>
          <cell r="R51">
            <v>2046</v>
          </cell>
          <cell r="S51">
            <v>1950859.1385999999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44561</v>
          </cell>
          <cell r="AA51">
            <v>15563128.1</v>
          </cell>
          <cell r="AB51">
            <v>15413231.6754</v>
          </cell>
          <cell r="AC51">
            <v>0</v>
          </cell>
          <cell r="AD51">
            <v>0</v>
          </cell>
          <cell r="AE51">
            <v>0</v>
          </cell>
          <cell r="AF51">
            <v>746873.20180000004</v>
          </cell>
          <cell r="AG51">
            <v>694406.90249999997</v>
          </cell>
        </row>
        <row r="52">
          <cell r="A52" t="str">
            <v>34500DMG001</v>
          </cell>
          <cell r="B52" t="str">
            <v>345.00</v>
          </cell>
          <cell r="C52" t="str">
            <v>Accessory Electric Equipment</v>
          </cell>
          <cell r="D52">
            <v>1761610</v>
          </cell>
          <cell r="E52">
            <v>3211784</v>
          </cell>
          <cell r="F52">
            <v>953799</v>
          </cell>
          <cell r="G52" t="str">
            <v>VG</v>
          </cell>
          <cell r="H52">
            <v>200</v>
          </cell>
          <cell r="I52" t="str">
            <v>SC</v>
          </cell>
          <cell r="J52">
            <v>42.11</v>
          </cell>
          <cell r="K52">
            <v>23.71</v>
          </cell>
          <cell r="L52">
            <v>-0.8</v>
          </cell>
          <cell r="M52">
            <v>0</v>
          </cell>
          <cell r="N52">
            <v>-3.6</v>
          </cell>
          <cell r="O52">
            <v>-3.4</v>
          </cell>
          <cell r="P52">
            <v>-2.2000000000000002</v>
          </cell>
          <cell r="Q52">
            <v>19.899999999999999</v>
          </cell>
          <cell r="R52">
            <v>2046</v>
          </cell>
          <cell r="S52">
            <v>111240.7686</v>
          </cell>
          <cell r="T52">
            <v>0</v>
          </cell>
          <cell r="U52">
            <v>0.8</v>
          </cell>
          <cell r="V52">
            <v>0</v>
          </cell>
          <cell r="W52">
            <v>0.8</v>
          </cell>
          <cell r="X52">
            <v>-0.8</v>
          </cell>
          <cell r="Y52">
            <v>0</v>
          </cell>
          <cell r="Z52">
            <v>44561</v>
          </cell>
          <cell r="AA52">
            <v>778669.59</v>
          </cell>
          <cell r="AB52">
            <v>875998.38989999995</v>
          </cell>
          <cell r="AC52">
            <v>0</v>
          </cell>
          <cell r="AD52">
            <v>0</v>
          </cell>
          <cell r="AE52">
            <v>0</v>
          </cell>
          <cell r="AF52">
            <v>42807.123</v>
          </cell>
          <cell r="AG52">
            <v>39812.385999999999</v>
          </cell>
        </row>
        <row r="53">
          <cell r="A53" t="str">
            <v>34600DMG001</v>
          </cell>
          <cell r="B53" t="str">
            <v>346.00</v>
          </cell>
          <cell r="C53" t="str">
            <v>Miscellaneous Power Plant Equip.</v>
          </cell>
          <cell r="D53">
            <v>360705</v>
          </cell>
          <cell r="E53">
            <v>379346</v>
          </cell>
          <cell r="F53">
            <v>204378</v>
          </cell>
          <cell r="G53" t="str">
            <v>VG</v>
          </cell>
          <cell r="H53">
            <v>200</v>
          </cell>
          <cell r="I53" t="str">
            <v>SC</v>
          </cell>
          <cell r="J53">
            <v>40.74</v>
          </cell>
          <cell r="K53">
            <v>23.71</v>
          </cell>
          <cell r="L53">
            <v>0</v>
          </cell>
          <cell r="M53">
            <v>0</v>
          </cell>
          <cell r="N53">
            <v>-3.6</v>
          </cell>
          <cell r="O53">
            <v>-3.4</v>
          </cell>
          <cell r="P53">
            <v>-3.2</v>
          </cell>
          <cell r="Q53">
            <v>18.5</v>
          </cell>
          <cell r="R53">
            <v>2046</v>
          </cell>
          <cell r="S53">
            <v>22691.9028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44561</v>
          </cell>
          <cell r="AA53">
            <v>171678.91</v>
          </cell>
          <cell r="AB53">
            <v>169522.78959999999</v>
          </cell>
          <cell r="AC53">
            <v>0</v>
          </cell>
          <cell r="AD53">
            <v>0</v>
          </cell>
          <cell r="AE53">
            <v>0</v>
          </cell>
          <cell r="AF53">
            <v>9125.8364999999994</v>
          </cell>
          <cell r="AG53">
            <v>8584.7790000000005</v>
          </cell>
        </row>
        <row r="54">
          <cell r="A54" t="str">
            <v>34100GIL002</v>
          </cell>
          <cell r="B54" t="str">
            <v>341.00</v>
          </cell>
          <cell r="C54" t="str">
            <v>Structures and Improvements</v>
          </cell>
          <cell r="D54">
            <v>2814826</v>
          </cell>
          <cell r="E54">
            <v>2918298</v>
          </cell>
          <cell r="F54">
            <v>2186085</v>
          </cell>
          <cell r="G54" t="str">
            <v>VG</v>
          </cell>
          <cell r="H54">
            <v>200</v>
          </cell>
          <cell r="I54" t="str">
            <v>SC</v>
          </cell>
          <cell r="J54">
            <v>32.86</v>
          </cell>
          <cell r="K54">
            <v>25.6</v>
          </cell>
          <cell r="L54">
            <v>0</v>
          </cell>
          <cell r="M54">
            <v>0</v>
          </cell>
          <cell r="N54">
            <v>-1.2</v>
          </cell>
          <cell r="O54">
            <v>-1.1000000000000001</v>
          </cell>
          <cell r="P54">
            <v>-1.1000000000000001</v>
          </cell>
          <cell r="Q54">
            <v>9.5</v>
          </cell>
          <cell r="R54">
            <v>2048</v>
          </cell>
          <cell r="S54">
            <v>187494.1862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44561</v>
          </cell>
          <cell r="AA54">
            <v>2625034.9186999998</v>
          </cell>
          <cell r="AB54">
            <v>957539.95019999996</v>
          </cell>
          <cell r="AC54">
            <v>0</v>
          </cell>
          <cell r="AD54">
            <v>0</v>
          </cell>
          <cell r="AE54">
            <v>0</v>
          </cell>
          <cell r="AF54">
            <v>86696.640799999994</v>
          </cell>
          <cell r="AG54">
            <v>73748.441200000001</v>
          </cell>
        </row>
        <row r="55">
          <cell r="A55" t="str">
            <v>34200GIL002</v>
          </cell>
          <cell r="B55" t="str">
            <v>342.00</v>
          </cell>
          <cell r="C55" t="str">
            <v>Fuel Holders and Accessories</v>
          </cell>
          <cell r="D55">
            <v>236650</v>
          </cell>
          <cell r="E55">
            <v>263073</v>
          </cell>
          <cell r="F55">
            <v>158610</v>
          </cell>
          <cell r="G55" t="str">
            <v>VG</v>
          </cell>
          <cell r="H55">
            <v>200</v>
          </cell>
          <cell r="I55" t="str">
            <v>SC</v>
          </cell>
          <cell r="J55">
            <v>37.94</v>
          </cell>
          <cell r="K55">
            <v>25.59</v>
          </cell>
          <cell r="L55">
            <v>0</v>
          </cell>
          <cell r="M55">
            <v>0</v>
          </cell>
          <cell r="N55">
            <v>-1.2</v>
          </cell>
          <cell r="O55">
            <v>-1.1000000000000001</v>
          </cell>
          <cell r="P55">
            <v>-1</v>
          </cell>
          <cell r="Q55">
            <v>14.8</v>
          </cell>
          <cell r="R55">
            <v>2048</v>
          </cell>
          <cell r="S55">
            <v>15979.307500000001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44561</v>
          </cell>
          <cell r="AA55">
            <v>1897693.76</v>
          </cell>
          <cell r="AB55">
            <v>118850.6637</v>
          </cell>
          <cell r="AC55">
            <v>0</v>
          </cell>
          <cell r="AD55">
            <v>0</v>
          </cell>
          <cell r="AE55">
            <v>0</v>
          </cell>
          <cell r="AF55">
            <v>6294.89</v>
          </cell>
          <cell r="AG55">
            <v>4709.335</v>
          </cell>
        </row>
        <row r="56">
          <cell r="A56" t="str">
            <v>34300GIL002</v>
          </cell>
          <cell r="B56" t="str">
            <v>343.00</v>
          </cell>
          <cell r="C56" t="str">
            <v>Prime Movers</v>
          </cell>
          <cell r="D56">
            <v>268493204</v>
          </cell>
          <cell r="E56">
            <v>284287459</v>
          </cell>
          <cell r="F56">
            <v>179171209</v>
          </cell>
          <cell r="G56" t="str">
            <v>VG</v>
          </cell>
          <cell r="H56">
            <v>200</v>
          </cell>
          <cell r="I56" t="str">
            <v>SC</v>
          </cell>
          <cell r="J56">
            <v>38.479999999999997</v>
          </cell>
          <cell r="K56">
            <v>25.59</v>
          </cell>
          <cell r="L56">
            <v>-16.899999999999999</v>
          </cell>
          <cell r="M56">
            <v>0</v>
          </cell>
          <cell r="N56">
            <v>-1.2</v>
          </cell>
          <cell r="O56">
            <v>-1.1000000000000001</v>
          </cell>
          <cell r="P56">
            <v>-2</v>
          </cell>
          <cell r="Q56">
            <v>15</v>
          </cell>
          <cell r="R56">
            <v>2048</v>
          </cell>
          <cell r="S56">
            <v>18138527.800799999</v>
          </cell>
          <cell r="T56">
            <v>-3.2</v>
          </cell>
          <cell r="U56">
            <v>13.7</v>
          </cell>
          <cell r="V56">
            <v>-3.2</v>
          </cell>
          <cell r="W56">
            <v>13.7</v>
          </cell>
          <cell r="X56">
            <v>-16.899999999999999</v>
          </cell>
          <cell r="Y56">
            <v>0</v>
          </cell>
          <cell r="Z56">
            <v>44561</v>
          </cell>
          <cell r="AA56">
            <v>131370164.72830001</v>
          </cell>
          <cell r="AB56">
            <v>136032771.90149999</v>
          </cell>
          <cell r="AC56">
            <v>0</v>
          </cell>
          <cell r="AD56">
            <v>0</v>
          </cell>
          <cell r="AE56">
            <v>0</v>
          </cell>
          <cell r="AF56">
            <v>7115069.9060000004</v>
          </cell>
          <cell r="AG56">
            <v>5289316.1188000003</v>
          </cell>
        </row>
        <row r="57">
          <cell r="A57" t="str">
            <v>34400GIL002</v>
          </cell>
          <cell r="B57" t="str">
            <v>344.00</v>
          </cell>
          <cell r="C57" t="str">
            <v>Generators</v>
          </cell>
          <cell r="D57">
            <v>45908167</v>
          </cell>
          <cell r="E57">
            <v>46618986</v>
          </cell>
          <cell r="F57">
            <v>28473496</v>
          </cell>
          <cell r="G57" t="str">
            <v>VG</v>
          </cell>
          <cell r="H57">
            <v>200</v>
          </cell>
          <cell r="I57" t="str">
            <v>SC</v>
          </cell>
          <cell r="J57">
            <v>40.97</v>
          </cell>
          <cell r="K57">
            <v>25.58</v>
          </cell>
          <cell r="L57">
            <v>0</v>
          </cell>
          <cell r="M57">
            <v>0</v>
          </cell>
          <cell r="N57">
            <v>-1.2</v>
          </cell>
          <cell r="O57">
            <v>-1.1000000000000001</v>
          </cell>
          <cell r="P57">
            <v>-1.1000000000000001</v>
          </cell>
          <cell r="Q57">
            <v>17.100000000000001</v>
          </cell>
          <cell r="R57">
            <v>2048</v>
          </cell>
          <cell r="S57">
            <v>3118018.6841000002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44561</v>
          </cell>
          <cell r="AA57">
            <v>25838115.77</v>
          </cell>
          <cell r="AB57">
            <v>26552101.267499998</v>
          </cell>
          <cell r="AC57">
            <v>0</v>
          </cell>
          <cell r="AD57">
            <v>0</v>
          </cell>
          <cell r="AE57">
            <v>0</v>
          </cell>
          <cell r="AF57">
            <v>1133931.7249</v>
          </cell>
          <cell r="AG57">
            <v>775848.02229999995</v>
          </cell>
        </row>
        <row r="58">
          <cell r="A58" t="str">
            <v>34500GIL002</v>
          </cell>
          <cell r="B58" t="str">
            <v>345.00</v>
          </cell>
          <cell r="C58" t="str">
            <v>Accessory Electric Equipment</v>
          </cell>
          <cell r="D58">
            <v>11328600</v>
          </cell>
          <cell r="E58">
            <v>11493714</v>
          </cell>
          <cell r="F58">
            <v>7527807</v>
          </cell>
          <cell r="G58" t="str">
            <v>VG</v>
          </cell>
          <cell r="H58">
            <v>200</v>
          </cell>
          <cell r="I58" t="str">
            <v>SC</v>
          </cell>
          <cell r="J58">
            <v>38.299999999999997</v>
          </cell>
          <cell r="K58">
            <v>25.59</v>
          </cell>
          <cell r="L58">
            <v>0</v>
          </cell>
          <cell r="M58">
            <v>0</v>
          </cell>
          <cell r="N58">
            <v>-1.2</v>
          </cell>
          <cell r="O58">
            <v>-1.1000000000000001</v>
          </cell>
          <cell r="P58">
            <v>-1.1000000000000001</v>
          </cell>
          <cell r="Q58">
            <v>14.9</v>
          </cell>
          <cell r="R58">
            <v>2048</v>
          </cell>
          <cell r="S58">
            <v>765148.83400000003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44561</v>
          </cell>
          <cell r="AA58">
            <v>6134759.4800000004</v>
          </cell>
          <cell r="AB58">
            <v>5788410.2818999998</v>
          </cell>
          <cell r="AC58">
            <v>0</v>
          </cell>
          <cell r="AD58">
            <v>0</v>
          </cell>
          <cell r="AE58">
            <v>0</v>
          </cell>
          <cell r="AF58">
            <v>299075.03999999998</v>
          </cell>
          <cell r="AG58">
            <v>220907.7</v>
          </cell>
        </row>
        <row r="59">
          <cell r="A59" t="str">
            <v>34600GIL002</v>
          </cell>
          <cell r="B59" t="str">
            <v>346.00</v>
          </cell>
          <cell r="C59" t="str">
            <v>Miscellaneous Power Plant Equip.</v>
          </cell>
          <cell r="D59">
            <v>1833020</v>
          </cell>
          <cell r="E59">
            <v>1833020</v>
          </cell>
          <cell r="F59">
            <v>1094448</v>
          </cell>
          <cell r="G59" t="str">
            <v>VG</v>
          </cell>
          <cell r="H59">
            <v>200</v>
          </cell>
          <cell r="I59" t="str">
            <v>SC</v>
          </cell>
          <cell r="J59">
            <v>42.53</v>
          </cell>
          <cell r="K59">
            <v>25.58</v>
          </cell>
          <cell r="L59">
            <v>0</v>
          </cell>
          <cell r="M59">
            <v>0</v>
          </cell>
          <cell r="N59">
            <v>-1.2</v>
          </cell>
          <cell r="O59">
            <v>-1.1000000000000001</v>
          </cell>
          <cell r="P59">
            <v>-1.1000000000000001</v>
          </cell>
          <cell r="Q59">
            <v>18.2</v>
          </cell>
          <cell r="R59">
            <v>2048</v>
          </cell>
          <cell r="S59">
            <v>124830.6134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44561</v>
          </cell>
          <cell r="AA59">
            <v>2708711.89</v>
          </cell>
          <cell r="AB59">
            <v>1124806.4820999999</v>
          </cell>
          <cell r="AC59">
            <v>0</v>
          </cell>
          <cell r="AD59">
            <v>0</v>
          </cell>
          <cell r="AE59">
            <v>0</v>
          </cell>
          <cell r="AF59">
            <v>43625.875999999997</v>
          </cell>
          <cell r="AG59">
            <v>28411.81</v>
          </cell>
        </row>
        <row r="60">
          <cell r="A60" t="str">
            <v>34100GIL003</v>
          </cell>
          <cell r="B60" t="str">
            <v>341.00</v>
          </cell>
          <cell r="C60" t="str">
            <v>Structures and Improvements</v>
          </cell>
          <cell r="D60">
            <v>3006476</v>
          </cell>
          <cell r="E60">
            <v>3312789</v>
          </cell>
          <cell r="F60">
            <v>2484739</v>
          </cell>
          <cell r="G60" t="str">
            <v>VG</v>
          </cell>
          <cell r="H60">
            <v>200</v>
          </cell>
          <cell r="I60" t="str">
            <v>SC</v>
          </cell>
          <cell r="J60">
            <v>30.88</v>
          </cell>
          <cell r="K60">
            <v>25.61</v>
          </cell>
          <cell r="L60">
            <v>0</v>
          </cell>
          <cell r="M60">
            <v>0</v>
          </cell>
          <cell r="N60">
            <v>-1.3</v>
          </cell>
          <cell r="O60">
            <v>-1.2</v>
          </cell>
          <cell r="P60">
            <v>-1.1000000000000001</v>
          </cell>
          <cell r="Q60">
            <v>6.8</v>
          </cell>
          <cell r="R60">
            <v>2048</v>
          </cell>
          <cell r="S60">
            <v>198862.31359999999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44561</v>
          </cell>
          <cell r="AA60">
            <v>1564522.2180000001</v>
          </cell>
          <cell r="AB60">
            <v>628177.54480000003</v>
          </cell>
          <cell r="AC60">
            <v>0</v>
          </cell>
          <cell r="AD60">
            <v>0</v>
          </cell>
          <cell r="AE60">
            <v>0</v>
          </cell>
          <cell r="AF60">
            <v>98311.765199999994</v>
          </cell>
          <cell r="AG60">
            <v>94403.346399999995</v>
          </cell>
        </row>
        <row r="61">
          <cell r="A61" t="str">
            <v>34200GIL003</v>
          </cell>
          <cell r="B61" t="str">
            <v>342.00</v>
          </cell>
          <cell r="C61" t="str">
            <v>Fuel Holders and Accessories</v>
          </cell>
          <cell r="D61">
            <v>185933</v>
          </cell>
          <cell r="E61">
            <v>185933</v>
          </cell>
          <cell r="F61">
            <v>116456</v>
          </cell>
          <cell r="G61" t="str">
            <v>VG</v>
          </cell>
          <cell r="H61">
            <v>200</v>
          </cell>
          <cell r="I61" t="str">
            <v>SC</v>
          </cell>
          <cell r="J61">
            <v>40.57</v>
          </cell>
          <cell r="K61">
            <v>25.59</v>
          </cell>
          <cell r="L61">
            <v>0</v>
          </cell>
          <cell r="M61">
            <v>0</v>
          </cell>
          <cell r="N61">
            <v>-1.3</v>
          </cell>
          <cell r="O61">
            <v>-1.2</v>
          </cell>
          <cell r="P61">
            <v>-1.2</v>
          </cell>
          <cell r="Q61">
            <v>16.600000000000001</v>
          </cell>
          <cell r="R61">
            <v>2048</v>
          </cell>
          <cell r="S61">
            <v>12611.028899999999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44561</v>
          </cell>
          <cell r="AA61">
            <v>984935.24</v>
          </cell>
          <cell r="AB61">
            <v>83651.580700000006</v>
          </cell>
          <cell r="AC61">
            <v>0</v>
          </cell>
          <cell r="AD61">
            <v>0</v>
          </cell>
          <cell r="AE61">
            <v>0</v>
          </cell>
          <cell r="AF61">
            <v>4629.7317000000003</v>
          </cell>
          <cell r="AG61">
            <v>4090.5259999999998</v>
          </cell>
        </row>
        <row r="62">
          <cell r="A62" t="str">
            <v>34300GIL003</v>
          </cell>
          <cell r="B62" t="str">
            <v>343.00</v>
          </cell>
          <cell r="C62" t="str">
            <v>Prime Movers</v>
          </cell>
          <cell r="D62">
            <v>193284490</v>
          </cell>
          <cell r="E62">
            <v>216174191</v>
          </cell>
          <cell r="F62">
            <v>125278028</v>
          </cell>
          <cell r="G62" t="str">
            <v>VG</v>
          </cell>
          <cell r="H62">
            <v>200</v>
          </cell>
          <cell r="I62" t="str">
            <v>SC</v>
          </cell>
          <cell r="J62">
            <v>38.880000000000003</v>
          </cell>
          <cell r="K62">
            <v>25.59</v>
          </cell>
          <cell r="L62">
            <v>7.5</v>
          </cell>
          <cell r="M62">
            <v>0</v>
          </cell>
          <cell r="N62">
            <v>-1.3</v>
          </cell>
          <cell r="O62">
            <v>-1.2</v>
          </cell>
          <cell r="P62">
            <v>-0.3</v>
          </cell>
          <cell r="Q62">
            <v>15.5</v>
          </cell>
          <cell r="R62">
            <v>2048</v>
          </cell>
          <cell r="S62">
            <v>13071678.2673</v>
          </cell>
          <cell r="T62">
            <v>16.3</v>
          </cell>
          <cell r="U62">
            <v>8.8000000000000007</v>
          </cell>
          <cell r="V62">
            <v>15.9</v>
          </cell>
          <cell r="W62">
            <v>8.6</v>
          </cell>
          <cell r="X62">
            <v>7.3</v>
          </cell>
          <cell r="Y62">
            <v>0</v>
          </cell>
          <cell r="Z62">
            <v>44561</v>
          </cell>
          <cell r="AA62">
            <v>78398561.466299996</v>
          </cell>
          <cell r="AB62">
            <v>81880509.671299994</v>
          </cell>
          <cell r="AC62">
            <v>0</v>
          </cell>
          <cell r="AD62">
            <v>0</v>
          </cell>
          <cell r="AE62">
            <v>0</v>
          </cell>
          <cell r="AF62">
            <v>4986739.8420000002</v>
          </cell>
          <cell r="AG62">
            <v>4445543.2699999996</v>
          </cell>
        </row>
        <row r="63">
          <cell r="A63" t="str">
            <v>34400GIL003</v>
          </cell>
          <cell r="B63" t="str">
            <v>344.00</v>
          </cell>
          <cell r="C63" t="str">
            <v>Generators</v>
          </cell>
          <cell r="D63">
            <v>32674783</v>
          </cell>
          <cell r="E63">
            <v>34926695</v>
          </cell>
          <cell r="F63">
            <v>20513725</v>
          </cell>
          <cell r="G63" t="str">
            <v>VG</v>
          </cell>
          <cell r="H63">
            <v>200</v>
          </cell>
          <cell r="I63" t="str">
            <v>SC</v>
          </cell>
          <cell r="J63">
            <v>40.58</v>
          </cell>
          <cell r="K63">
            <v>25.58</v>
          </cell>
          <cell r="L63">
            <v>-6.3</v>
          </cell>
          <cell r="M63">
            <v>0</v>
          </cell>
          <cell r="N63">
            <v>-1.3</v>
          </cell>
          <cell r="O63">
            <v>-1.2</v>
          </cell>
          <cell r="P63">
            <v>-1.5</v>
          </cell>
          <cell r="Q63">
            <v>17.3</v>
          </cell>
          <cell r="R63">
            <v>2048</v>
          </cell>
          <cell r="S63">
            <v>2219985.9029999999</v>
          </cell>
          <cell r="T63">
            <v>0</v>
          </cell>
          <cell r="U63">
            <v>6.3</v>
          </cell>
          <cell r="V63">
            <v>0</v>
          </cell>
          <cell r="W63">
            <v>6.3</v>
          </cell>
          <cell r="X63">
            <v>-6.3</v>
          </cell>
          <cell r="Y63">
            <v>0</v>
          </cell>
          <cell r="Z63">
            <v>44561</v>
          </cell>
          <cell r="AA63">
            <v>15920700.27</v>
          </cell>
          <cell r="AB63">
            <v>14642044.5998</v>
          </cell>
          <cell r="AC63">
            <v>0</v>
          </cell>
          <cell r="AD63">
            <v>0</v>
          </cell>
          <cell r="AE63">
            <v>0</v>
          </cell>
          <cell r="AF63">
            <v>816869.57499999995</v>
          </cell>
          <cell r="AG63">
            <v>718845.22600000002</v>
          </cell>
        </row>
        <row r="64">
          <cell r="A64" t="str">
            <v>34500GIL003</v>
          </cell>
          <cell r="B64" t="str">
            <v>345.00</v>
          </cell>
          <cell r="C64" t="str">
            <v>Accessory Electric Equipment</v>
          </cell>
          <cell r="D64">
            <v>8119789</v>
          </cell>
          <cell r="E64">
            <v>9204954</v>
          </cell>
          <cell r="F64">
            <v>5589792</v>
          </cell>
          <cell r="G64" t="str">
            <v>VG</v>
          </cell>
          <cell r="H64">
            <v>200</v>
          </cell>
          <cell r="I64" t="str">
            <v>SC</v>
          </cell>
          <cell r="J64">
            <v>37.119999999999997</v>
          </cell>
          <cell r="K64">
            <v>25.59</v>
          </cell>
          <cell r="L64">
            <v>-5.0999999999999996</v>
          </cell>
          <cell r="M64">
            <v>0</v>
          </cell>
          <cell r="N64">
            <v>-1.3</v>
          </cell>
          <cell r="O64">
            <v>-1.2</v>
          </cell>
          <cell r="P64">
            <v>-1.6</v>
          </cell>
          <cell r="Q64">
            <v>13.9</v>
          </cell>
          <cell r="R64">
            <v>2048</v>
          </cell>
          <cell r="S64">
            <v>546988.84809999994</v>
          </cell>
          <cell r="T64">
            <v>0</v>
          </cell>
          <cell r="U64">
            <v>5.0999999999999996</v>
          </cell>
          <cell r="V64">
            <v>0</v>
          </cell>
          <cell r="W64">
            <v>5.0999999999999996</v>
          </cell>
          <cell r="X64">
            <v>-5.0999999999999996</v>
          </cell>
          <cell r="Y64">
            <v>0</v>
          </cell>
          <cell r="Z64">
            <v>44561</v>
          </cell>
          <cell r="AA64">
            <v>2942642.52</v>
          </cell>
          <cell r="AB64">
            <v>3046143.2407</v>
          </cell>
          <cell r="AC64">
            <v>0</v>
          </cell>
          <cell r="AD64">
            <v>0</v>
          </cell>
          <cell r="AE64">
            <v>0</v>
          </cell>
          <cell r="AF64">
            <v>222482.21859999999</v>
          </cell>
          <cell r="AG64">
            <v>202182.74609999999</v>
          </cell>
        </row>
        <row r="65">
          <cell r="A65" t="str">
            <v>34600GIL003</v>
          </cell>
          <cell r="B65" t="str">
            <v>346.00</v>
          </cell>
          <cell r="C65" t="str">
            <v>Miscellaneous Power Plant Equip.</v>
          </cell>
          <cell r="D65">
            <v>1383836</v>
          </cell>
          <cell r="E65">
            <v>1435141</v>
          </cell>
          <cell r="F65">
            <v>843060</v>
          </cell>
          <cell r="G65" t="str">
            <v>VG</v>
          </cell>
          <cell r="H65">
            <v>200</v>
          </cell>
          <cell r="I65" t="str">
            <v>SC</v>
          </cell>
          <cell r="J65">
            <v>41.63</v>
          </cell>
          <cell r="K65">
            <v>25.58</v>
          </cell>
          <cell r="L65">
            <v>0</v>
          </cell>
          <cell r="M65">
            <v>0</v>
          </cell>
          <cell r="N65">
            <v>-1.3</v>
          </cell>
          <cell r="O65">
            <v>-1.2</v>
          </cell>
          <cell r="P65">
            <v>-1.1000000000000001</v>
          </cell>
          <cell r="Q65">
            <v>17.600000000000001</v>
          </cell>
          <cell r="R65">
            <v>2048</v>
          </cell>
          <cell r="S65">
            <v>94101.616699999999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44561</v>
          </cell>
          <cell r="AA65">
            <v>1120264.69</v>
          </cell>
          <cell r="AB65">
            <v>651099.76699999999</v>
          </cell>
          <cell r="AC65">
            <v>0</v>
          </cell>
          <cell r="AD65">
            <v>0</v>
          </cell>
          <cell r="AE65">
            <v>0</v>
          </cell>
          <cell r="AF65">
            <v>33627.214800000002</v>
          </cell>
          <cell r="AG65">
            <v>29337.323199999999</v>
          </cell>
        </row>
        <row r="66">
          <cell r="A66" t="str">
            <v>34100GILCM0</v>
          </cell>
          <cell r="B66" t="str">
            <v>341.00</v>
          </cell>
          <cell r="C66" t="str">
            <v>Structures and Improvements</v>
          </cell>
          <cell r="D66">
            <v>17653863</v>
          </cell>
          <cell r="E66">
            <v>17991241</v>
          </cell>
          <cell r="F66">
            <v>11649940</v>
          </cell>
          <cell r="G66" t="str">
            <v>VG</v>
          </cell>
          <cell r="H66">
            <v>200</v>
          </cell>
          <cell r="I66" t="str">
            <v>SC</v>
          </cell>
          <cell r="J66">
            <v>37.61</v>
          </cell>
          <cell r="K66">
            <v>25.59</v>
          </cell>
          <cell r="L66">
            <v>0</v>
          </cell>
          <cell r="M66">
            <v>0</v>
          </cell>
          <cell r="N66">
            <v>-6.7</v>
          </cell>
          <cell r="O66">
            <v>-6.2</v>
          </cell>
          <cell r="P66">
            <v>-6.1</v>
          </cell>
          <cell r="Q66">
            <v>14.2</v>
          </cell>
          <cell r="R66">
            <v>2048</v>
          </cell>
          <cell r="S66">
            <v>1190116.0379999999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44561</v>
          </cell>
          <cell r="AA66">
            <v>6592722.0377000002</v>
          </cell>
          <cell r="AB66">
            <v>5690397.3081</v>
          </cell>
          <cell r="AC66">
            <v>0</v>
          </cell>
          <cell r="AD66">
            <v>0</v>
          </cell>
          <cell r="AE66">
            <v>0</v>
          </cell>
          <cell r="AF66">
            <v>497838.93660000002</v>
          </cell>
          <cell r="AG66">
            <v>510196.64069999999</v>
          </cell>
        </row>
        <row r="67">
          <cell r="A67" t="str">
            <v>34200GILCM0</v>
          </cell>
          <cell r="B67" t="str">
            <v>342.00</v>
          </cell>
          <cell r="C67" t="str">
            <v>Fuel Holders and Accessories</v>
          </cell>
          <cell r="D67">
            <v>15306082</v>
          </cell>
          <cell r="E67">
            <v>15410782</v>
          </cell>
          <cell r="F67">
            <v>8779718</v>
          </cell>
          <cell r="G67" t="str">
            <v>VG</v>
          </cell>
          <cell r="H67">
            <v>200</v>
          </cell>
          <cell r="I67" t="str">
            <v>SC</v>
          </cell>
          <cell r="J67">
            <v>42.74</v>
          </cell>
          <cell r="K67">
            <v>25.58</v>
          </cell>
          <cell r="L67">
            <v>0</v>
          </cell>
          <cell r="M67">
            <v>0</v>
          </cell>
          <cell r="N67">
            <v>-6.7</v>
          </cell>
          <cell r="O67">
            <v>-6.2</v>
          </cell>
          <cell r="P67">
            <v>-6.2</v>
          </cell>
          <cell r="Q67">
            <v>18.399999999999999</v>
          </cell>
          <cell r="R67">
            <v>2048</v>
          </cell>
          <cell r="S67">
            <v>1042834.8404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44561</v>
          </cell>
          <cell r="AA67">
            <v>6374496.54</v>
          </cell>
          <cell r="AB67">
            <v>6185556.2824999997</v>
          </cell>
          <cell r="AC67">
            <v>0</v>
          </cell>
          <cell r="AD67">
            <v>0</v>
          </cell>
          <cell r="AE67">
            <v>0</v>
          </cell>
          <cell r="AF67">
            <v>379590.83360000001</v>
          </cell>
          <cell r="AG67">
            <v>393366.30739999999</v>
          </cell>
        </row>
        <row r="68">
          <cell r="A68" t="str">
            <v>34300GILCM0</v>
          </cell>
          <cell r="B68" t="str">
            <v>343.00</v>
          </cell>
          <cell r="C68" t="str">
            <v>Prime Movers</v>
          </cell>
          <cell r="D68">
            <v>20243650</v>
          </cell>
          <cell r="E68">
            <v>20657944</v>
          </cell>
          <cell r="F68">
            <v>13896449</v>
          </cell>
          <cell r="G68" t="str">
            <v>VG</v>
          </cell>
          <cell r="H68">
            <v>200</v>
          </cell>
          <cell r="I68" t="str">
            <v>SC</v>
          </cell>
          <cell r="J68">
            <v>36.29</v>
          </cell>
          <cell r="K68">
            <v>25.6</v>
          </cell>
          <cell r="L68">
            <v>0</v>
          </cell>
          <cell r="M68">
            <v>0</v>
          </cell>
          <cell r="N68">
            <v>-6.7</v>
          </cell>
          <cell r="O68">
            <v>-6.2</v>
          </cell>
          <cell r="P68">
            <v>-6.1</v>
          </cell>
          <cell r="Q68">
            <v>12.6</v>
          </cell>
          <cell r="R68">
            <v>2048</v>
          </cell>
          <cell r="S68">
            <v>1359083.8165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44561</v>
          </cell>
          <cell r="AA68">
            <v>5798805.2352</v>
          </cell>
          <cell r="AB68">
            <v>6015749.3152000001</v>
          </cell>
          <cell r="AC68">
            <v>0</v>
          </cell>
          <cell r="AD68">
            <v>0</v>
          </cell>
          <cell r="AE68">
            <v>0</v>
          </cell>
          <cell r="AF68">
            <v>591114.57999999996</v>
          </cell>
          <cell r="AG68">
            <v>605285.13500000001</v>
          </cell>
        </row>
        <row r="69">
          <cell r="A69" t="str">
            <v>34500GILCM0</v>
          </cell>
          <cell r="B69" t="str">
            <v>345.00</v>
          </cell>
          <cell r="C69" t="str">
            <v>Accessory Electric Equipment</v>
          </cell>
          <cell r="D69">
            <v>5557241</v>
          </cell>
          <cell r="E69">
            <v>5557241</v>
          </cell>
          <cell r="F69">
            <v>3358904</v>
          </cell>
          <cell r="G69" t="str">
            <v>VG</v>
          </cell>
          <cell r="H69">
            <v>200</v>
          </cell>
          <cell r="I69" t="str">
            <v>SC</v>
          </cell>
          <cell r="J69">
            <v>40.78</v>
          </cell>
          <cell r="K69">
            <v>25.59</v>
          </cell>
          <cell r="L69">
            <v>0</v>
          </cell>
          <cell r="M69">
            <v>0</v>
          </cell>
          <cell r="N69">
            <v>-6.7</v>
          </cell>
          <cell r="O69">
            <v>-6.2</v>
          </cell>
          <cell r="P69">
            <v>-6.2</v>
          </cell>
          <cell r="Q69">
            <v>16.899999999999999</v>
          </cell>
          <cell r="R69">
            <v>2048</v>
          </cell>
          <cell r="S69">
            <v>377217.30310000002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44561</v>
          </cell>
          <cell r="AA69">
            <v>2169888.2400000002</v>
          </cell>
          <cell r="AB69">
            <v>2083539.5329</v>
          </cell>
          <cell r="AC69">
            <v>0</v>
          </cell>
          <cell r="AD69">
            <v>0</v>
          </cell>
          <cell r="AE69">
            <v>0</v>
          </cell>
          <cell r="AF69">
            <v>144488.266</v>
          </cell>
          <cell r="AG69">
            <v>149489.78289999999</v>
          </cell>
        </row>
        <row r="70">
          <cell r="A70" t="str">
            <v>34600GILCM0</v>
          </cell>
          <cell r="B70" t="str">
            <v>346.00</v>
          </cell>
          <cell r="C70" t="str">
            <v>Miscellaneous Power Plant Equip.</v>
          </cell>
          <cell r="D70">
            <v>16227246</v>
          </cell>
          <cell r="E70">
            <v>17449038</v>
          </cell>
          <cell r="F70">
            <v>9462763</v>
          </cell>
          <cell r="G70" t="str">
            <v>VG</v>
          </cell>
          <cell r="H70">
            <v>200</v>
          </cell>
          <cell r="I70" t="str">
            <v>SC</v>
          </cell>
          <cell r="J70">
            <v>41.95</v>
          </cell>
          <cell r="K70">
            <v>25.58</v>
          </cell>
          <cell r="L70">
            <v>0</v>
          </cell>
          <cell r="M70">
            <v>0</v>
          </cell>
          <cell r="N70">
            <v>-6.7</v>
          </cell>
          <cell r="O70">
            <v>-6.2</v>
          </cell>
          <cell r="P70">
            <v>-5.8</v>
          </cell>
          <cell r="Q70">
            <v>17.899999999999999</v>
          </cell>
          <cell r="R70">
            <v>2048</v>
          </cell>
          <cell r="S70">
            <v>1104128.3144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44561</v>
          </cell>
          <cell r="AA70">
            <v>5450570.8600000003</v>
          </cell>
          <cell r="AB70">
            <v>6411240.4741000002</v>
          </cell>
          <cell r="AC70">
            <v>0</v>
          </cell>
          <cell r="AD70">
            <v>0</v>
          </cell>
          <cell r="AE70">
            <v>0</v>
          </cell>
          <cell r="AF70">
            <v>408926.5992</v>
          </cell>
          <cell r="AG70">
            <v>423531.12060000002</v>
          </cell>
        </row>
        <row r="71">
          <cell r="A71" t="str">
            <v>34100LUN000</v>
          </cell>
          <cell r="B71" t="str">
            <v>341.00</v>
          </cell>
          <cell r="C71" t="str">
            <v>Structures and Improvements</v>
          </cell>
          <cell r="D71">
            <v>13774789</v>
          </cell>
          <cell r="E71">
            <v>14102031</v>
          </cell>
          <cell r="F71">
            <v>10200586</v>
          </cell>
          <cell r="G71" t="str">
            <v>VG</v>
          </cell>
          <cell r="H71">
            <v>200</v>
          </cell>
          <cell r="I71" t="str">
            <v>SC</v>
          </cell>
          <cell r="J71">
            <v>41.52</v>
          </cell>
          <cell r="K71">
            <v>28.37</v>
          </cell>
          <cell r="L71">
            <v>-521.5</v>
          </cell>
          <cell r="M71">
            <v>0</v>
          </cell>
          <cell r="N71">
            <v>-8.1999999999999993</v>
          </cell>
          <cell r="O71">
            <v>-7.6</v>
          </cell>
          <cell r="P71">
            <v>-19.5</v>
          </cell>
          <cell r="Q71">
            <v>14.6</v>
          </cell>
          <cell r="R71">
            <v>2051</v>
          </cell>
          <cell r="S71">
            <v>1036471.3815</v>
          </cell>
          <cell r="T71">
            <v>0.7</v>
          </cell>
          <cell r="U71">
            <v>522.20000000000005</v>
          </cell>
          <cell r="V71">
            <v>0.7</v>
          </cell>
          <cell r="W71">
            <v>522.20000000000005</v>
          </cell>
          <cell r="X71">
            <v>-521.5</v>
          </cell>
          <cell r="Y71">
            <v>0</v>
          </cell>
          <cell r="Z71">
            <v>44561</v>
          </cell>
          <cell r="AA71">
            <v>3082176.0096999998</v>
          </cell>
          <cell r="AB71">
            <v>641710.97450000001</v>
          </cell>
          <cell r="AC71">
            <v>0</v>
          </cell>
          <cell r="AD71">
            <v>0</v>
          </cell>
          <cell r="AE71">
            <v>0</v>
          </cell>
          <cell r="AF71">
            <v>396713.92320000002</v>
          </cell>
          <cell r="AG71">
            <v>500024.8407</v>
          </cell>
        </row>
        <row r="72">
          <cell r="A72" t="str">
            <v>34200LUN000</v>
          </cell>
          <cell r="B72" t="str">
            <v>342.00</v>
          </cell>
          <cell r="C72" t="str">
            <v>Fuel Holders and Accessories</v>
          </cell>
          <cell r="D72">
            <v>11367453</v>
          </cell>
          <cell r="E72">
            <v>11370232</v>
          </cell>
          <cell r="F72">
            <v>7253132</v>
          </cell>
          <cell r="G72" t="str">
            <v>VG</v>
          </cell>
          <cell r="H72">
            <v>200</v>
          </cell>
          <cell r="I72" t="str">
            <v>SC</v>
          </cell>
          <cell r="J72">
            <v>42.75</v>
          </cell>
          <cell r="K72">
            <v>28.37</v>
          </cell>
          <cell r="L72">
            <v>0</v>
          </cell>
          <cell r="M72">
            <v>0</v>
          </cell>
          <cell r="N72">
            <v>-8.1999999999999993</v>
          </cell>
          <cell r="O72">
            <v>-7.6</v>
          </cell>
          <cell r="P72">
            <v>-7.6</v>
          </cell>
          <cell r="Q72">
            <v>15.5</v>
          </cell>
          <cell r="R72">
            <v>2051</v>
          </cell>
          <cell r="S72">
            <v>857330.5416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44561</v>
          </cell>
          <cell r="AA72">
            <v>2907350.95</v>
          </cell>
          <cell r="AB72">
            <v>738683.64989999996</v>
          </cell>
          <cell r="AC72">
            <v>0</v>
          </cell>
          <cell r="AD72">
            <v>0</v>
          </cell>
          <cell r="AE72">
            <v>0</v>
          </cell>
          <cell r="AF72">
            <v>286459.81559999997</v>
          </cell>
          <cell r="AG72">
            <v>404681.32679999998</v>
          </cell>
        </row>
        <row r="73">
          <cell r="A73" t="str">
            <v>34300LUN000</v>
          </cell>
          <cell r="B73" t="str">
            <v>343.00</v>
          </cell>
          <cell r="C73" t="str">
            <v>Prime Movers</v>
          </cell>
          <cell r="D73">
            <v>23553019</v>
          </cell>
          <cell r="E73">
            <v>34413820</v>
          </cell>
          <cell r="F73">
            <v>18053160</v>
          </cell>
          <cell r="G73" t="str">
            <v>VG</v>
          </cell>
          <cell r="H73">
            <v>200</v>
          </cell>
          <cell r="I73" t="str">
            <v>SC</v>
          </cell>
          <cell r="J73">
            <v>35.450000000000003</v>
          </cell>
          <cell r="K73">
            <v>28.39</v>
          </cell>
          <cell r="L73">
            <v>0</v>
          </cell>
          <cell r="M73">
            <v>0</v>
          </cell>
          <cell r="N73">
            <v>-8.1999999999999993</v>
          </cell>
          <cell r="O73">
            <v>-7.6</v>
          </cell>
          <cell r="P73">
            <v>-5.2</v>
          </cell>
          <cell r="Q73">
            <v>9</v>
          </cell>
          <cell r="R73">
            <v>2051</v>
          </cell>
          <cell r="S73">
            <v>1747222.7616000001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44561</v>
          </cell>
          <cell r="AA73">
            <v>-4871021.6694</v>
          </cell>
          <cell r="AB73">
            <v>987442.57539999997</v>
          </cell>
          <cell r="AC73">
            <v>0</v>
          </cell>
          <cell r="AD73">
            <v>0</v>
          </cell>
          <cell r="AE73">
            <v>0</v>
          </cell>
          <cell r="AF73">
            <v>699524.66429999995</v>
          </cell>
          <cell r="AG73">
            <v>857329.89159999997</v>
          </cell>
        </row>
        <row r="74">
          <cell r="A74" t="str">
            <v>34400LUN000</v>
          </cell>
          <cell r="B74" t="str">
            <v>344.00</v>
          </cell>
          <cell r="C74" t="str">
            <v>Generators</v>
          </cell>
          <cell r="D74">
            <v>439255</v>
          </cell>
          <cell r="E74">
            <v>7112774</v>
          </cell>
          <cell r="F74">
            <v>329698</v>
          </cell>
          <cell r="G74" t="str">
            <v>VG</v>
          </cell>
          <cell r="H74">
            <v>200</v>
          </cell>
          <cell r="I74" t="str">
            <v>SC</v>
          </cell>
          <cell r="J74">
            <v>34.53</v>
          </cell>
          <cell r="K74">
            <v>28.4</v>
          </cell>
          <cell r="L74">
            <v>0</v>
          </cell>
          <cell r="M74">
            <v>0</v>
          </cell>
          <cell r="N74">
            <v>-8.1999999999999993</v>
          </cell>
          <cell r="O74">
            <v>-7.6</v>
          </cell>
          <cell r="P74">
            <v>-0.5</v>
          </cell>
          <cell r="Q74">
            <v>4.5999999999999996</v>
          </cell>
          <cell r="R74">
            <v>2051</v>
          </cell>
          <cell r="S74">
            <v>32219.233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44561</v>
          </cell>
          <cell r="AA74">
            <v>172964.15</v>
          </cell>
          <cell r="AB74">
            <v>19669.7372</v>
          </cell>
          <cell r="AC74">
            <v>0</v>
          </cell>
          <cell r="AD74">
            <v>0</v>
          </cell>
          <cell r="AE74">
            <v>0</v>
          </cell>
          <cell r="AF74">
            <v>12782.3205</v>
          </cell>
          <cell r="AG74">
            <v>15944.9565</v>
          </cell>
        </row>
        <row r="75">
          <cell r="A75" t="str">
            <v>34500LUN000</v>
          </cell>
          <cell r="B75" t="str">
            <v>345.00</v>
          </cell>
          <cell r="C75" t="str">
            <v>Accessory Electric Equipment</v>
          </cell>
          <cell r="D75">
            <v>663414</v>
          </cell>
          <cell r="E75">
            <v>663414</v>
          </cell>
          <cell r="F75">
            <v>564469</v>
          </cell>
          <cell r="G75" t="str">
            <v>VG</v>
          </cell>
          <cell r="H75">
            <v>200</v>
          </cell>
          <cell r="I75" t="str">
            <v>SC</v>
          </cell>
          <cell r="J75">
            <v>32.97</v>
          </cell>
          <cell r="K75">
            <v>28.4</v>
          </cell>
          <cell r="L75">
            <v>0</v>
          </cell>
          <cell r="M75">
            <v>0</v>
          </cell>
          <cell r="N75">
            <v>-8.1999999999999993</v>
          </cell>
          <cell r="O75">
            <v>-7.6</v>
          </cell>
          <cell r="P75">
            <v>-7.6</v>
          </cell>
          <cell r="Q75">
            <v>5.4</v>
          </cell>
          <cell r="R75">
            <v>2051</v>
          </cell>
          <cell r="S75">
            <v>48766.875500000002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44561</v>
          </cell>
          <cell r="AA75">
            <v>65130.14</v>
          </cell>
          <cell r="AB75">
            <v>17764.559300000001</v>
          </cell>
          <cell r="AC75">
            <v>0</v>
          </cell>
          <cell r="AD75">
            <v>0</v>
          </cell>
          <cell r="AE75">
            <v>0</v>
          </cell>
          <cell r="AF75">
            <v>21627.296399999999</v>
          </cell>
          <cell r="AG75">
            <v>24479.976600000002</v>
          </cell>
        </row>
        <row r="76">
          <cell r="A76" t="str">
            <v>34600LUN000</v>
          </cell>
          <cell r="B76" t="str">
            <v>346.00</v>
          </cell>
          <cell r="C76" t="str">
            <v>Miscellaneous Power Plant Equip.</v>
          </cell>
          <cell r="D76">
            <v>7129851</v>
          </cell>
          <cell r="E76">
            <v>7482201</v>
          </cell>
          <cell r="F76">
            <v>4572225</v>
          </cell>
          <cell r="G76" t="str">
            <v>VG</v>
          </cell>
          <cell r="H76">
            <v>200</v>
          </cell>
          <cell r="I76" t="str">
            <v>SC</v>
          </cell>
          <cell r="J76">
            <v>42.4</v>
          </cell>
          <cell r="K76">
            <v>28.37</v>
          </cell>
          <cell r="L76">
            <v>0</v>
          </cell>
          <cell r="M76">
            <v>0</v>
          </cell>
          <cell r="N76">
            <v>-8.1999999999999993</v>
          </cell>
          <cell r="O76">
            <v>-7.6</v>
          </cell>
          <cell r="P76">
            <v>-7.2</v>
          </cell>
          <cell r="Q76">
            <v>15.4</v>
          </cell>
          <cell r="R76">
            <v>2051</v>
          </cell>
          <cell r="S76">
            <v>537565.8125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44561</v>
          </cell>
          <cell r="AA76">
            <v>1507867.01</v>
          </cell>
          <cell r="AB76">
            <v>459195.09409999999</v>
          </cell>
          <cell r="AC76">
            <v>0</v>
          </cell>
          <cell r="AD76">
            <v>0</v>
          </cell>
          <cell r="AE76">
            <v>0</v>
          </cell>
          <cell r="AF76">
            <v>180385.2303</v>
          </cell>
          <cell r="AG76">
            <v>254535.6807</v>
          </cell>
        </row>
        <row r="77">
          <cell r="A77" t="str">
            <v>34100NLG001</v>
          </cell>
          <cell r="B77" t="str">
            <v>341.00</v>
          </cell>
          <cell r="C77" t="str">
            <v>Structures and Improvements</v>
          </cell>
          <cell r="D77">
            <v>523623</v>
          </cell>
          <cell r="E77">
            <v>532617</v>
          </cell>
          <cell r="F77">
            <v>517267</v>
          </cell>
          <cell r="G77" t="str">
            <v>VG</v>
          </cell>
          <cell r="H77">
            <v>200</v>
          </cell>
          <cell r="I77" t="str">
            <v>SC</v>
          </cell>
          <cell r="J77">
            <v>18.13</v>
          </cell>
          <cell r="K77">
            <v>5.46</v>
          </cell>
          <cell r="L77">
            <v>-14443.4</v>
          </cell>
          <cell r="M77">
            <v>0</v>
          </cell>
          <cell r="N77">
            <v>-6.9</v>
          </cell>
          <cell r="O77">
            <v>-6.8</v>
          </cell>
          <cell r="P77">
            <v>-250.6</v>
          </cell>
          <cell r="Q77">
            <v>23.4</v>
          </cell>
          <cell r="R77">
            <v>2027</v>
          </cell>
          <cell r="S77">
            <v>6967.3715000000002</v>
          </cell>
          <cell r="T77">
            <v>-73.400000000000006</v>
          </cell>
          <cell r="U77">
            <v>14370</v>
          </cell>
          <cell r="V77">
            <v>-73.400000000000006</v>
          </cell>
          <cell r="W77">
            <v>14370</v>
          </cell>
          <cell r="X77">
            <v>-14443.4</v>
          </cell>
          <cell r="Y77">
            <v>0</v>
          </cell>
          <cell r="Z77">
            <v>44561</v>
          </cell>
          <cell r="AA77">
            <v>450975.71</v>
          </cell>
          <cell r="AB77">
            <v>8516.0007000000005</v>
          </cell>
          <cell r="AC77">
            <v>0</v>
          </cell>
          <cell r="AD77">
            <v>0</v>
          </cell>
          <cell r="AE77">
            <v>0</v>
          </cell>
          <cell r="AF77">
            <v>101268.6882</v>
          </cell>
          <cell r="AG77">
            <v>100849.7898</v>
          </cell>
        </row>
        <row r="78">
          <cell r="A78" t="str">
            <v>34300NLG001</v>
          </cell>
          <cell r="B78" t="str">
            <v>343.00</v>
          </cell>
          <cell r="C78" t="str">
            <v>Prime Movers</v>
          </cell>
          <cell r="D78">
            <v>789284</v>
          </cell>
          <cell r="E78">
            <v>799513</v>
          </cell>
          <cell r="F78">
            <v>258315</v>
          </cell>
          <cell r="G78" t="str">
            <v>VG</v>
          </cell>
          <cell r="H78">
            <v>200</v>
          </cell>
          <cell r="I78" t="str">
            <v>SC</v>
          </cell>
          <cell r="J78">
            <v>14.78</v>
          </cell>
          <cell r="K78">
            <v>5.46</v>
          </cell>
          <cell r="L78">
            <v>-25.7</v>
          </cell>
          <cell r="M78">
            <v>0</v>
          </cell>
          <cell r="N78">
            <v>-6.9</v>
          </cell>
          <cell r="O78">
            <v>-6.8</v>
          </cell>
          <cell r="P78">
            <v>-7</v>
          </cell>
          <cell r="Q78">
            <v>12.9</v>
          </cell>
          <cell r="R78">
            <v>2027</v>
          </cell>
          <cell r="S78">
            <v>10196.573200000001</v>
          </cell>
          <cell r="T78">
            <v>0</v>
          </cell>
          <cell r="U78">
            <v>25.7</v>
          </cell>
          <cell r="V78">
            <v>0</v>
          </cell>
          <cell r="W78">
            <v>25.7</v>
          </cell>
          <cell r="X78">
            <v>-25.7</v>
          </cell>
          <cell r="Y78">
            <v>0</v>
          </cell>
          <cell r="Z78">
            <v>44561</v>
          </cell>
          <cell r="AA78">
            <v>643770.87959999999</v>
          </cell>
          <cell r="AB78">
            <v>711383.04929999996</v>
          </cell>
          <cell r="AC78">
            <v>0</v>
          </cell>
          <cell r="AD78">
            <v>0</v>
          </cell>
          <cell r="AE78">
            <v>0</v>
          </cell>
          <cell r="AF78">
            <v>57144.161599999999</v>
          </cell>
          <cell r="AG78">
            <v>24073.162</v>
          </cell>
        </row>
        <row r="79">
          <cell r="A79" t="str">
            <v>34400NLG001</v>
          </cell>
          <cell r="B79" t="str">
            <v>344.00</v>
          </cell>
          <cell r="C79" t="str">
            <v>Generators</v>
          </cell>
          <cell r="D79">
            <v>3688916</v>
          </cell>
          <cell r="E79">
            <v>4068344</v>
          </cell>
          <cell r="F79">
            <v>354246</v>
          </cell>
          <cell r="G79" t="str">
            <v>VG</v>
          </cell>
          <cell r="H79">
            <v>200</v>
          </cell>
          <cell r="I79" t="str">
            <v>SC</v>
          </cell>
          <cell r="J79">
            <v>35.65</v>
          </cell>
          <cell r="K79">
            <v>5.46</v>
          </cell>
          <cell r="L79">
            <v>-9.8000000000000007</v>
          </cell>
          <cell r="M79">
            <v>0</v>
          </cell>
          <cell r="N79">
            <v>-6.9</v>
          </cell>
          <cell r="O79">
            <v>-6.8</v>
          </cell>
          <cell r="P79">
            <v>-7.1</v>
          </cell>
          <cell r="Q79">
            <v>38.700000000000003</v>
          </cell>
          <cell r="R79">
            <v>2027</v>
          </cell>
          <cell r="S79">
            <v>51120.3753</v>
          </cell>
          <cell r="T79">
            <v>0</v>
          </cell>
          <cell r="U79">
            <v>9.8000000000000007</v>
          </cell>
          <cell r="V79">
            <v>0</v>
          </cell>
          <cell r="W79">
            <v>9.8000000000000007</v>
          </cell>
          <cell r="X79">
            <v>-9.8000000000000007</v>
          </cell>
          <cell r="Y79">
            <v>0</v>
          </cell>
          <cell r="Z79">
            <v>44561</v>
          </cell>
          <cell r="AA79">
            <v>4178901.56</v>
          </cell>
          <cell r="AB79">
            <v>4467731.9480999997</v>
          </cell>
          <cell r="AC79">
            <v>0</v>
          </cell>
          <cell r="AD79">
            <v>0</v>
          </cell>
          <cell r="AE79">
            <v>0</v>
          </cell>
          <cell r="AF79">
            <v>110667.48</v>
          </cell>
          <cell r="AG79">
            <v>-96649.599199999997</v>
          </cell>
        </row>
        <row r="80">
          <cell r="A80" t="str">
            <v>34500NLG001</v>
          </cell>
          <cell r="B80" t="str">
            <v>345.00</v>
          </cell>
          <cell r="C80" t="str">
            <v>Accessory Electric Equipment</v>
          </cell>
          <cell r="D80">
            <v>824960</v>
          </cell>
          <cell r="E80">
            <v>843277</v>
          </cell>
          <cell r="F80">
            <v>137201</v>
          </cell>
          <cell r="G80" t="str">
            <v>VG</v>
          </cell>
          <cell r="H80">
            <v>200</v>
          </cell>
          <cell r="I80" t="str">
            <v>SC</v>
          </cell>
          <cell r="J80">
            <v>24.98</v>
          </cell>
          <cell r="K80">
            <v>5.46</v>
          </cell>
          <cell r="L80">
            <v>-26</v>
          </cell>
          <cell r="M80">
            <v>0</v>
          </cell>
          <cell r="N80">
            <v>-6.9</v>
          </cell>
          <cell r="O80">
            <v>-6.8</v>
          </cell>
          <cell r="P80">
            <v>-7.2</v>
          </cell>
          <cell r="Q80">
            <v>28.5</v>
          </cell>
          <cell r="R80">
            <v>2027</v>
          </cell>
          <cell r="S80">
            <v>11122.3511</v>
          </cell>
          <cell r="T80">
            <v>0</v>
          </cell>
          <cell r="U80">
            <v>26</v>
          </cell>
          <cell r="V80">
            <v>0</v>
          </cell>
          <cell r="W80">
            <v>26</v>
          </cell>
          <cell r="X80">
            <v>-26</v>
          </cell>
          <cell r="Y80">
            <v>0</v>
          </cell>
          <cell r="Z80">
            <v>44561</v>
          </cell>
          <cell r="AA80">
            <v>856096.42</v>
          </cell>
          <cell r="AB80">
            <v>921447.31400000001</v>
          </cell>
          <cell r="AC80">
            <v>0</v>
          </cell>
          <cell r="AD80">
            <v>0</v>
          </cell>
          <cell r="AE80">
            <v>0</v>
          </cell>
          <cell r="AF80">
            <v>35390.784</v>
          </cell>
          <cell r="AG80">
            <v>-7424.64</v>
          </cell>
        </row>
        <row r="81">
          <cell r="A81" t="str">
            <v>34600NLG001</v>
          </cell>
          <cell r="B81" t="str">
            <v>346.00</v>
          </cell>
          <cell r="C81" t="str">
            <v>Miscellaneous Power Plant Equip.</v>
          </cell>
          <cell r="D81">
            <v>306369</v>
          </cell>
          <cell r="E81">
            <v>306369</v>
          </cell>
          <cell r="F81">
            <v>36741</v>
          </cell>
          <cell r="G81" t="str">
            <v>VG</v>
          </cell>
          <cell r="H81">
            <v>200</v>
          </cell>
          <cell r="I81" t="str">
            <v>SC</v>
          </cell>
          <cell r="J81">
            <v>31.03</v>
          </cell>
          <cell r="K81">
            <v>5.46</v>
          </cell>
          <cell r="L81">
            <v>0</v>
          </cell>
          <cell r="M81">
            <v>0</v>
          </cell>
          <cell r="N81">
            <v>-6.9</v>
          </cell>
          <cell r="O81">
            <v>-6.8</v>
          </cell>
          <cell r="P81">
            <v>-6.8</v>
          </cell>
          <cell r="Q81">
            <v>31.5</v>
          </cell>
          <cell r="R81">
            <v>2027</v>
          </cell>
          <cell r="S81">
            <v>4163.8765000000003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44561</v>
          </cell>
          <cell r="AA81">
            <v>340576.56</v>
          </cell>
          <cell r="AB81">
            <v>361242.81760000001</v>
          </cell>
          <cell r="AC81">
            <v>0</v>
          </cell>
          <cell r="AD81">
            <v>0</v>
          </cell>
          <cell r="AE81">
            <v>0</v>
          </cell>
          <cell r="AF81">
            <v>10539.0936</v>
          </cell>
          <cell r="AG81">
            <v>-6219.2906999999996</v>
          </cell>
        </row>
        <row r="82">
          <cell r="A82" t="str">
            <v>34100NLG002</v>
          </cell>
          <cell r="B82" t="str">
            <v>341.00</v>
          </cell>
          <cell r="C82" t="str">
            <v>Structures and Improvements</v>
          </cell>
          <cell r="D82">
            <v>366576</v>
          </cell>
          <cell r="E82">
            <v>375094</v>
          </cell>
          <cell r="F82">
            <v>120402</v>
          </cell>
          <cell r="G82" t="str">
            <v>VG</v>
          </cell>
          <cell r="H82">
            <v>200</v>
          </cell>
          <cell r="I82" t="str">
            <v>SC</v>
          </cell>
          <cell r="J82">
            <v>15.29</v>
          </cell>
          <cell r="K82">
            <v>5.46</v>
          </cell>
          <cell r="L82">
            <v>0</v>
          </cell>
          <cell r="M82">
            <v>0</v>
          </cell>
          <cell r="N82">
            <v>-4.5</v>
          </cell>
          <cell r="O82">
            <v>-4.4000000000000004</v>
          </cell>
          <cell r="P82">
            <v>-4.3</v>
          </cell>
          <cell r="Q82">
            <v>23.8</v>
          </cell>
          <cell r="R82">
            <v>2027</v>
          </cell>
          <cell r="S82">
            <v>4887.1665000000003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44561</v>
          </cell>
          <cell r="AA82">
            <v>259571.95</v>
          </cell>
          <cell r="AB82">
            <v>326313.65519999998</v>
          </cell>
          <cell r="AC82">
            <v>0</v>
          </cell>
          <cell r="AD82">
            <v>0</v>
          </cell>
          <cell r="AE82">
            <v>0</v>
          </cell>
          <cell r="AF82">
            <v>25000.483199999999</v>
          </cell>
          <cell r="AG82">
            <v>10337.4432</v>
          </cell>
        </row>
        <row r="83">
          <cell r="A83" t="str">
            <v>34300NLG002</v>
          </cell>
          <cell r="B83" t="str">
            <v>343.00</v>
          </cell>
          <cell r="C83" t="str">
            <v>Prime Movers</v>
          </cell>
          <cell r="D83">
            <v>5388425</v>
          </cell>
          <cell r="E83">
            <v>5395073</v>
          </cell>
          <cell r="F83">
            <v>5094849</v>
          </cell>
          <cell r="G83" t="str">
            <v>VG</v>
          </cell>
          <cell r="H83">
            <v>200</v>
          </cell>
          <cell r="I83" t="str">
            <v>SC</v>
          </cell>
          <cell r="J83">
            <v>6.34</v>
          </cell>
          <cell r="K83">
            <v>5.46</v>
          </cell>
          <cell r="L83">
            <v>-8533.7999999999993</v>
          </cell>
          <cell r="M83">
            <v>0</v>
          </cell>
          <cell r="N83">
            <v>-4.5</v>
          </cell>
          <cell r="O83">
            <v>-4.4000000000000004</v>
          </cell>
          <cell r="P83">
            <v>-14.9</v>
          </cell>
          <cell r="Q83">
            <v>1.4</v>
          </cell>
          <cell r="R83">
            <v>2027</v>
          </cell>
          <cell r="S83">
            <v>67597.262499999997</v>
          </cell>
          <cell r="T83">
            <v>-16.600000000000001</v>
          </cell>
          <cell r="U83">
            <v>8517.2000000000007</v>
          </cell>
          <cell r="V83">
            <v>-16.600000000000001</v>
          </cell>
          <cell r="W83">
            <v>8517.2000000000007</v>
          </cell>
          <cell r="X83">
            <v>-8533.7999999999993</v>
          </cell>
          <cell r="Y83">
            <v>0</v>
          </cell>
          <cell r="Z83">
            <v>44561</v>
          </cell>
          <cell r="AA83">
            <v>628267.42000000004</v>
          </cell>
          <cell r="AB83">
            <v>389147.06189999997</v>
          </cell>
          <cell r="AC83">
            <v>0</v>
          </cell>
          <cell r="AD83">
            <v>0</v>
          </cell>
          <cell r="AE83">
            <v>0</v>
          </cell>
          <cell r="AF83">
            <v>976382.61</v>
          </cell>
          <cell r="AG83">
            <v>959139.65</v>
          </cell>
        </row>
        <row r="84">
          <cell r="A84" t="str">
            <v>34400NLG002</v>
          </cell>
          <cell r="B84" t="str">
            <v>344.00</v>
          </cell>
          <cell r="C84" t="str">
            <v>Generators</v>
          </cell>
          <cell r="D84">
            <v>3037081</v>
          </cell>
          <cell r="E84">
            <v>3476252</v>
          </cell>
          <cell r="F84">
            <v>281529</v>
          </cell>
          <cell r="G84" t="str">
            <v>VG</v>
          </cell>
          <cell r="H84">
            <v>200</v>
          </cell>
          <cell r="I84" t="str">
            <v>SC</v>
          </cell>
          <cell r="J84">
            <v>41.5</v>
          </cell>
          <cell r="K84">
            <v>5.46</v>
          </cell>
          <cell r="L84">
            <v>-0.6</v>
          </cell>
          <cell r="M84">
            <v>0</v>
          </cell>
          <cell r="N84">
            <v>-4.5</v>
          </cell>
          <cell r="O84">
            <v>-4.4000000000000004</v>
          </cell>
          <cell r="P84">
            <v>-3.9</v>
          </cell>
          <cell r="Q84">
            <v>42.3</v>
          </cell>
          <cell r="R84">
            <v>2027</v>
          </cell>
          <cell r="S84">
            <v>42498.6564</v>
          </cell>
          <cell r="T84">
            <v>0</v>
          </cell>
          <cell r="U84">
            <v>0.6</v>
          </cell>
          <cell r="V84">
            <v>0</v>
          </cell>
          <cell r="W84">
            <v>0.6</v>
          </cell>
          <cell r="X84">
            <v>-0.6</v>
          </cell>
          <cell r="Y84">
            <v>0</v>
          </cell>
          <cell r="Z84">
            <v>44561</v>
          </cell>
          <cell r="AA84">
            <v>3512544.7</v>
          </cell>
          <cell r="AB84">
            <v>3652601.1025</v>
          </cell>
          <cell r="AC84">
            <v>0</v>
          </cell>
          <cell r="AD84">
            <v>0</v>
          </cell>
          <cell r="AE84">
            <v>0</v>
          </cell>
          <cell r="AF84">
            <v>75927.024999999994</v>
          </cell>
          <cell r="AG84">
            <v>-88379.057100000005</v>
          </cell>
        </row>
        <row r="85">
          <cell r="A85" t="str">
            <v>34500NLG002</v>
          </cell>
          <cell r="B85" t="str">
            <v>345.00</v>
          </cell>
          <cell r="C85" t="str">
            <v>Accessory Electric Equipment</v>
          </cell>
          <cell r="D85">
            <v>534162</v>
          </cell>
          <cell r="E85">
            <v>552480</v>
          </cell>
          <cell r="F85">
            <v>94533</v>
          </cell>
          <cell r="G85" t="str">
            <v>VG</v>
          </cell>
          <cell r="H85">
            <v>200</v>
          </cell>
          <cell r="I85" t="str">
            <v>SC</v>
          </cell>
          <cell r="J85">
            <v>25.87</v>
          </cell>
          <cell r="K85">
            <v>5.46</v>
          </cell>
          <cell r="L85">
            <v>-13.8</v>
          </cell>
          <cell r="M85">
            <v>0</v>
          </cell>
          <cell r="N85">
            <v>-4.5</v>
          </cell>
          <cell r="O85">
            <v>-4.4000000000000004</v>
          </cell>
          <cell r="P85">
            <v>-4.7</v>
          </cell>
          <cell r="Q85">
            <v>33.5</v>
          </cell>
          <cell r="R85">
            <v>2027</v>
          </cell>
          <cell r="S85">
            <v>7303.9375</v>
          </cell>
          <cell r="T85">
            <v>0</v>
          </cell>
          <cell r="U85">
            <v>13.8</v>
          </cell>
          <cell r="V85">
            <v>0</v>
          </cell>
          <cell r="W85">
            <v>13.8</v>
          </cell>
          <cell r="X85">
            <v>-13.8</v>
          </cell>
          <cell r="Y85">
            <v>0</v>
          </cell>
          <cell r="Z85">
            <v>44561</v>
          </cell>
          <cell r="AA85">
            <v>555893.93999999994</v>
          </cell>
          <cell r="AB85">
            <v>582746.63500000001</v>
          </cell>
          <cell r="AC85">
            <v>0</v>
          </cell>
          <cell r="AD85">
            <v>0</v>
          </cell>
          <cell r="AE85">
            <v>0</v>
          </cell>
          <cell r="AF85">
            <v>21633.561000000002</v>
          </cell>
          <cell r="AG85">
            <v>-4593.7932000000001</v>
          </cell>
        </row>
        <row r="86">
          <cell r="A86" t="str">
            <v>34600NLG002</v>
          </cell>
          <cell r="B86" t="str">
            <v>346.00</v>
          </cell>
          <cell r="C86" t="str">
            <v>Miscellaneous Power Plant Equip.</v>
          </cell>
          <cell r="D86">
            <v>128559</v>
          </cell>
          <cell r="E86">
            <v>128559</v>
          </cell>
          <cell r="F86">
            <v>7877</v>
          </cell>
          <cell r="G86" t="str">
            <v>VG</v>
          </cell>
          <cell r="H86">
            <v>200</v>
          </cell>
          <cell r="I86" t="str">
            <v>SC</v>
          </cell>
          <cell r="J86">
            <v>54.15</v>
          </cell>
          <cell r="K86">
            <v>5.46</v>
          </cell>
          <cell r="L86">
            <v>0</v>
          </cell>
          <cell r="M86">
            <v>0</v>
          </cell>
          <cell r="N86">
            <v>-4.5</v>
          </cell>
          <cell r="O86">
            <v>-4.4000000000000004</v>
          </cell>
          <cell r="P86">
            <v>-4.4000000000000004</v>
          </cell>
          <cell r="Q86">
            <v>49.4</v>
          </cell>
          <cell r="R86">
            <v>2027</v>
          </cell>
          <cell r="S86">
            <v>1833.4566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44561</v>
          </cell>
          <cell r="AA86">
            <v>154500.24</v>
          </cell>
          <cell r="AB86">
            <v>159969.7954</v>
          </cell>
          <cell r="AC86">
            <v>0</v>
          </cell>
          <cell r="AD86">
            <v>0</v>
          </cell>
          <cell r="AE86">
            <v>0</v>
          </cell>
          <cell r="AF86">
            <v>2481.1887000000002</v>
          </cell>
          <cell r="AG86">
            <v>-4718.1153000000004</v>
          </cell>
        </row>
        <row r="87">
          <cell r="A87" t="str">
            <v>34100NLG003</v>
          </cell>
          <cell r="B87" t="str">
            <v>341.00</v>
          </cell>
          <cell r="C87" t="str">
            <v>Structures and Improvements</v>
          </cell>
          <cell r="D87">
            <v>307084</v>
          </cell>
          <cell r="E87">
            <v>315602</v>
          </cell>
          <cell r="F87">
            <v>95675</v>
          </cell>
          <cell r="G87" t="str">
            <v>VG</v>
          </cell>
          <cell r="H87">
            <v>200</v>
          </cell>
          <cell r="I87" t="str">
            <v>SC</v>
          </cell>
          <cell r="J87">
            <v>15.87</v>
          </cell>
          <cell r="K87">
            <v>5.46</v>
          </cell>
          <cell r="L87">
            <v>0</v>
          </cell>
          <cell r="M87">
            <v>0</v>
          </cell>
          <cell r="N87">
            <v>-5</v>
          </cell>
          <cell r="O87">
            <v>-4.9000000000000004</v>
          </cell>
          <cell r="P87">
            <v>-4.8</v>
          </cell>
          <cell r="Q87">
            <v>26.9</v>
          </cell>
          <cell r="R87">
            <v>2027</v>
          </cell>
          <cell r="S87">
            <v>4129.3172000000004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44561</v>
          </cell>
          <cell r="AA87">
            <v>225986.1</v>
          </cell>
          <cell r="AB87">
            <v>266344.02159999998</v>
          </cell>
          <cell r="AC87">
            <v>0</v>
          </cell>
          <cell r="AD87">
            <v>0</v>
          </cell>
          <cell r="AE87">
            <v>0</v>
          </cell>
          <cell r="AF87">
            <v>20267.544000000002</v>
          </cell>
          <cell r="AG87">
            <v>10225.897199999999</v>
          </cell>
        </row>
        <row r="88">
          <cell r="A88" t="str">
            <v>34300NLG003</v>
          </cell>
          <cell r="B88" t="str">
            <v>343.00</v>
          </cell>
          <cell r="C88" t="str">
            <v>Prime Movers</v>
          </cell>
          <cell r="D88">
            <v>1435719</v>
          </cell>
          <cell r="E88">
            <v>1476503</v>
          </cell>
          <cell r="F88">
            <v>990356</v>
          </cell>
          <cell r="G88" t="str">
            <v>VG</v>
          </cell>
          <cell r="H88">
            <v>200</v>
          </cell>
          <cell r="I88" t="str">
            <v>SC</v>
          </cell>
          <cell r="J88">
            <v>10.45</v>
          </cell>
          <cell r="K88">
            <v>5.46</v>
          </cell>
          <cell r="L88">
            <v>-1325.6</v>
          </cell>
          <cell r="M88">
            <v>0</v>
          </cell>
          <cell r="N88">
            <v>-5</v>
          </cell>
          <cell r="O88">
            <v>-4.9000000000000004</v>
          </cell>
          <cell r="P88">
            <v>-41.4</v>
          </cell>
          <cell r="Q88">
            <v>8.4</v>
          </cell>
          <cell r="R88">
            <v>2027</v>
          </cell>
          <cell r="S88">
            <v>18337.980500000001</v>
          </cell>
          <cell r="T88">
            <v>-2.2999999999999998</v>
          </cell>
          <cell r="U88">
            <v>1323.3</v>
          </cell>
          <cell r="V88">
            <v>-2.2999999999999998</v>
          </cell>
          <cell r="W88">
            <v>1323.3</v>
          </cell>
          <cell r="X88">
            <v>-1325.6</v>
          </cell>
          <cell r="Y88">
            <v>0</v>
          </cell>
          <cell r="Z88">
            <v>44561</v>
          </cell>
          <cell r="AA88">
            <v>851416.71</v>
          </cell>
          <cell r="AB88">
            <v>561091</v>
          </cell>
          <cell r="AC88">
            <v>0</v>
          </cell>
          <cell r="AD88">
            <v>0</v>
          </cell>
          <cell r="AE88">
            <v>0</v>
          </cell>
          <cell r="AF88">
            <v>194252.7807</v>
          </cell>
          <cell r="AG88">
            <v>173004.13949999999</v>
          </cell>
        </row>
        <row r="89">
          <cell r="A89" t="str">
            <v>34400NLG003</v>
          </cell>
          <cell r="B89" t="str">
            <v>344.00</v>
          </cell>
          <cell r="C89" t="str">
            <v>Generators</v>
          </cell>
          <cell r="D89">
            <v>6083464</v>
          </cell>
          <cell r="E89">
            <v>6483734</v>
          </cell>
          <cell r="F89">
            <v>3049057</v>
          </cell>
          <cell r="G89" t="str">
            <v>VG</v>
          </cell>
          <cell r="H89">
            <v>200</v>
          </cell>
          <cell r="I89" t="str">
            <v>SC</v>
          </cell>
          <cell r="J89">
            <v>10.39</v>
          </cell>
          <cell r="K89">
            <v>5.46</v>
          </cell>
          <cell r="L89">
            <v>-0.8</v>
          </cell>
          <cell r="M89">
            <v>0</v>
          </cell>
          <cell r="N89">
            <v>-5</v>
          </cell>
          <cell r="O89">
            <v>-4.9000000000000004</v>
          </cell>
          <cell r="P89">
            <v>-4.7</v>
          </cell>
          <cell r="Q89">
            <v>21.9</v>
          </cell>
          <cell r="R89">
            <v>2027</v>
          </cell>
          <cell r="S89">
            <v>80755.691200000001</v>
          </cell>
          <cell r="T89">
            <v>0</v>
          </cell>
          <cell r="U89">
            <v>0.8</v>
          </cell>
          <cell r="V89">
            <v>0</v>
          </cell>
          <cell r="W89">
            <v>0.8</v>
          </cell>
          <cell r="X89">
            <v>-0.8</v>
          </cell>
          <cell r="Y89">
            <v>0</v>
          </cell>
          <cell r="Z89">
            <v>44561</v>
          </cell>
          <cell r="AA89">
            <v>3560414.49</v>
          </cell>
          <cell r="AB89">
            <v>3822902.7428000001</v>
          </cell>
          <cell r="AC89">
            <v>0</v>
          </cell>
          <cell r="AD89">
            <v>0</v>
          </cell>
          <cell r="AE89">
            <v>0</v>
          </cell>
          <cell r="AF89">
            <v>613213.17119999998</v>
          </cell>
          <cell r="AG89">
            <v>468426.728</v>
          </cell>
        </row>
        <row r="90">
          <cell r="A90" t="str">
            <v>34500NLG003</v>
          </cell>
          <cell r="B90" t="str">
            <v>345.00</v>
          </cell>
          <cell r="C90" t="str">
            <v>Accessory Electric Equipment</v>
          </cell>
          <cell r="D90">
            <v>534479</v>
          </cell>
          <cell r="E90">
            <v>552796</v>
          </cell>
          <cell r="F90">
            <v>93406</v>
          </cell>
          <cell r="G90" t="str">
            <v>VG</v>
          </cell>
          <cell r="H90">
            <v>200</v>
          </cell>
          <cell r="I90" t="str">
            <v>SC</v>
          </cell>
          <cell r="J90">
            <v>25.67</v>
          </cell>
          <cell r="K90">
            <v>5.46</v>
          </cell>
          <cell r="L90">
            <v>-13.8</v>
          </cell>
          <cell r="M90">
            <v>0</v>
          </cell>
          <cell r="N90">
            <v>-5</v>
          </cell>
          <cell r="O90">
            <v>-4.9000000000000004</v>
          </cell>
          <cell r="P90">
            <v>-5.2</v>
          </cell>
          <cell r="Q90">
            <v>33.4</v>
          </cell>
          <cell r="R90">
            <v>2027</v>
          </cell>
          <cell r="S90">
            <v>7307.3251</v>
          </cell>
          <cell r="T90">
            <v>0</v>
          </cell>
          <cell r="U90">
            <v>13.8</v>
          </cell>
          <cell r="V90">
            <v>0</v>
          </cell>
          <cell r="W90">
            <v>13.8</v>
          </cell>
          <cell r="X90">
            <v>-13.8</v>
          </cell>
          <cell r="Y90">
            <v>0</v>
          </cell>
          <cell r="Z90">
            <v>44561</v>
          </cell>
          <cell r="AA90">
            <v>563861.39</v>
          </cell>
          <cell r="AB90">
            <v>555687.05779999995</v>
          </cell>
          <cell r="AC90">
            <v>0</v>
          </cell>
          <cell r="AD90">
            <v>0</v>
          </cell>
          <cell r="AE90">
            <v>0</v>
          </cell>
          <cell r="AF90">
            <v>21913.638999999999</v>
          </cell>
          <cell r="AG90">
            <v>908.61429999999996</v>
          </cell>
        </row>
        <row r="91">
          <cell r="A91" t="str">
            <v>34600NLG003</v>
          </cell>
          <cell r="B91" t="str">
            <v>346.00</v>
          </cell>
          <cell r="C91" t="str">
            <v>Miscellaneous Power Plant Equip.</v>
          </cell>
          <cell r="D91">
            <v>128559</v>
          </cell>
          <cell r="E91">
            <v>128559</v>
          </cell>
          <cell r="F91">
            <v>7299</v>
          </cell>
          <cell r="G91" t="str">
            <v>VG</v>
          </cell>
          <cell r="H91">
            <v>200</v>
          </cell>
          <cell r="I91" t="str">
            <v>SC</v>
          </cell>
          <cell r="J91">
            <v>54.15</v>
          </cell>
          <cell r="K91">
            <v>5.46</v>
          </cell>
          <cell r="L91">
            <v>0</v>
          </cell>
          <cell r="M91">
            <v>0</v>
          </cell>
          <cell r="N91">
            <v>-5</v>
          </cell>
          <cell r="O91">
            <v>-4.9000000000000004</v>
          </cell>
          <cell r="P91">
            <v>-4.9000000000000004</v>
          </cell>
          <cell r="Q91">
            <v>49.4</v>
          </cell>
          <cell r="R91">
            <v>2027</v>
          </cell>
          <cell r="S91">
            <v>1833.4564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44561</v>
          </cell>
          <cell r="AA91">
            <v>157116.34</v>
          </cell>
          <cell r="AB91">
            <v>152770.2077</v>
          </cell>
          <cell r="AC91">
            <v>0</v>
          </cell>
          <cell r="AD91">
            <v>0</v>
          </cell>
          <cell r="AE91">
            <v>0</v>
          </cell>
          <cell r="AF91">
            <v>2494.0446000000002</v>
          </cell>
          <cell r="AG91">
            <v>-3278.2545</v>
          </cell>
        </row>
        <row r="92">
          <cell r="A92" t="str">
            <v>34100NLG004</v>
          </cell>
          <cell r="B92" t="str">
            <v>341.00</v>
          </cell>
          <cell r="C92" t="str">
            <v>Structures and Improvements</v>
          </cell>
          <cell r="D92">
            <v>570050</v>
          </cell>
          <cell r="E92">
            <v>589289</v>
          </cell>
          <cell r="F92">
            <v>505137</v>
          </cell>
          <cell r="G92" t="str">
            <v>VG</v>
          </cell>
          <cell r="H92">
            <v>200</v>
          </cell>
          <cell r="I92" t="str">
            <v>SC</v>
          </cell>
          <cell r="J92">
            <v>26.54</v>
          </cell>
          <cell r="K92">
            <v>23.74</v>
          </cell>
          <cell r="L92">
            <v>20.5</v>
          </cell>
          <cell r="M92">
            <v>0</v>
          </cell>
          <cell r="N92">
            <v>-2.1</v>
          </cell>
          <cell r="O92">
            <v>-2</v>
          </cell>
          <cell r="P92">
            <v>-1.3</v>
          </cell>
          <cell r="Q92">
            <v>3.7</v>
          </cell>
          <cell r="R92">
            <v>2046</v>
          </cell>
          <cell r="S92">
            <v>34532.561999999998</v>
          </cell>
          <cell r="T92">
            <v>37.4</v>
          </cell>
          <cell r="U92">
            <v>16.899999999999999</v>
          </cell>
          <cell r="V92">
            <v>37.4</v>
          </cell>
          <cell r="W92">
            <v>16.899999999999999</v>
          </cell>
          <cell r="X92">
            <v>20.5</v>
          </cell>
          <cell r="Y92">
            <v>0</v>
          </cell>
          <cell r="Z92">
            <v>44561</v>
          </cell>
          <cell r="AA92">
            <v>-1265605.9841</v>
          </cell>
          <cell r="AB92">
            <v>52824.129099999998</v>
          </cell>
          <cell r="AC92">
            <v>0</v>
          </cell>
          <cell r="AD92">
            <v>0</v>
          </cell>
          <cell r="AE92">
            <v>0</v>
          </cell>
          <cell r="AF92">
            <v>21775.91</v>
          </cell>
          <cell r="AG92">
            <v>22288.955000000002</v>
          </cell>
        </row>
        <row r="93">
          <cell r="A93" t="str">
            <v>34200NLG004</v>
          </cell>
          <cell r="B93" t="str">
            <v>342.00</v>
          </cell>
          <cell r="C93" t="str">
            <v>Fuel Holders and Accessories</v>
          </cell>
          <cell r="D93">
            <v>312817</v>
          </cell>
          <cell r="E93">
            <v>312817</v>
          </cell>
          <cell r="F93">
            <v>173954</v>
          </cell>
          <cell r="G93" t="str">
            <v>VG</v>
          </cell>
          <cell r="H93">
            <v>200</v>
          </cell>
          <cell r="I93" t="str">
            <v>SC</v>
          </cell>
          <cell r="J93">
            <v>41.98</v>
          </cell>
          <cell r="K93">
            <v>23.71</v>
          </cell>
          <cell r="L93">
            <v>0</v>
          </cell>
          <cell r="M93">
            <v>0</v>
          </cell>
          <cell r="N93">
            <v>-2.1</v>
          </cell>
          <cell r="O93">
            <v>-2</v>
          </cell>
          <cell r="P93">
            <v>-2</v>
          </cell>
          <cell r="Q93">
            <v>19.899999999999999</v>
          </cell>
          <cell r="R93">
            <v>2046</v>
          </cell>
          <cell r="S93">
            <v>19751.975399999999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44561</v>
          </cell>
          <cell r="AA93">
            <v>152681.20000000001</v>
          </cell>
          <cell r="AB93">
            <v>113002.1272</v>
          </cell>
          <cell r="AC93">
            <v>0</v>
          </cell>
          <cell r="AD93">
            <v>0</v>
          </cell>
          <cell r="AE93">
            <v>0</v>
          </cell>
          <cell r="AF93">
            <v>7601.4530999999997</v>
          </cell>
          <cell r="AG93">
            <v>8696.3125999999993</v>
          </cell>
        </row>
        <row r="94">
          <cell r="A94" t="str">
            <v>34300NLG004</v>
          </cell>
          <cell r="B94" t="str">
            <v>343.00</v>
          </cell>
          <cell r="C94" t="str">
            <v>Prime Movers</v>
          </cell>
          <cell r="D94">
            <v>2225460</v>
          </cell>
          <cell r="E94">
            <v>2229781</v>
          </cell>
          <cell r="F94">
            <v>2243763</v>
          </cell>
          <cell r="G94" t="str">
            <v>VG</v>
          </cell>
          <cell r="H94">
            <v>200</v>
          </cell>
          <cell r="I94" t="str">
            <v>SC</v>
          </cell>
          <cell r="J94">
            <v>25.2</v>
          </cell>
          <cell r="K94">
            <v>23.75</v>
          </cell>
          <cell r="L94">
            <v>-3664.4</v>
          </cell>
          <cell r="M94">
            <v>0</v>
          </cell>
          <cell r="N94">
            <v>-2.1</v>
          </cell>
          <cell r="O94">
            <v>-2</v>
          </cell>
          <cell r="P94">
            <v>-9.1</v>
          </cell>
          <cell r="Q94">
            <v>1.5</v>
          </cell>
          <cell r="R94">
            <v>2046</v>
          </cell>
          <cell r="S94">
            <v>134045.99789999999</v>
          </cell>
          <cell r="T94">
            <v>-0.9</v>
          </cell>
          <cell r="U94">
            <v>3663.5</v>
          </cell>
          <cell r="V94">
            <v>-0.9</v>
          </cell>
          <cell r="W94">
            <v>3663.5</v>
          </cell>
          <cell r="X94">
            <v>-3664.4</v>
          </cell>
          <cell r="Y94">
            <v>0</v>
          </cell>
          <cell r="Z94">
            <v>44561</v>
          </cell>
          <cell r="AA94">
            <v>141978.06</v>
          </cell>
          <cell r="AB94">
            <v>-14894.0833</v>
          </cell>
          <cell r="AC94">
            <v>0</v>
          </cell>
          <cell r="AD94">
            <v>0</v>
          </cell>
          <cell r="AE94">
            <v>0</v>
          </cell>
          <cell r="AF94">
            <v>96362.418000000005</v>
          </cell>
          <cell r="AG94">
            <v>96139.872000000003</v>
          </cell>
        </row>
        <row r="95">
          <cell r="A95" t="str">
            <v>34400NLG004</v>
          </cell>
          <cell r="B95" t="str">
            <v>344.00</v>
          </cell>
          <cell r="C95" t="str">
            <v>Generators</v>
          </cell>
          <cell r="D95">
            <v>13199392</v>
          </cell>
          <cell r="E95">
            <v>14997095</v>
          </cell>
          <cell r="F95">
            <v>7181463</v>
          </cell>
          <cell r="G95" t="str">
            <v>VG</v>
          </cell>
          <cell r="H95">
            <v>200</v>
          </cell>
          <cell r="I95" t="str">
            <v>SC</v>
          </cell>
          <cell r="J95">
            <v>42.79</v>
          </cell>
          <cell r="K95">
            <v>23.71</v>
          </cell>
          <cell r="L95">
            <v>-0.1</v>
          </cell>
          <cell r="M95">
            <v>0</v>
          </cell>
          <cell r="N95">
            <v>-2.1</v>
          </cell>
          <cell r="O95">
            <v>-2</v>
          </cell>
          <cell r="P95">
            <v>-1.8</v>
          </cell>
          <cell r="Q95">
            <v>20.399999999999999</v>
          </cell>
          <cell r="R95">
            <v>2046</v>
          </cell>
          <cell r="S95">
            <v>834576.29440000001</v>
          </cell>
          <cell r="T95">
            <v>0</v>
          </cell>
          <cell r="U95">
            <v>0.1</v>
          </cell>
          <cell r="V95">
            <v>0</v>
          </cell>
          <cell r="W95">
            <v>0.1</v>
          </cell>
          <cell r="X95">
            <v>-0.1</v>
          </cell>
          <cell r="Y95">
            <v>0</v>
          </cell>
          <cell r="Z95">
            <v>44561</v>
          </cell>
          <cell r="AA95">
            <v>5904517.1399999997</v>
          </cell>
          <cell r="AB95">
            <v>4897191.4370999997</v>
          </cell>
          <cell r="AC95">
            <v>0</v>
          </cell>
          <cell r="AD95">
            <v>0</v>
          </cell>
          <cell r="AE95">
            <v>0</v>
          </cell>
          <cell r="AF95">
            <v>314145.52960000001</v>
          </cell>
          <cell r="AG95">
            <v>361663.34080000001</v>
          </cell>
        </row>
        <row r="96">
          <cell r="A96" t="str">
            <v>34500NLG004</v>
          </cell>
          <cell r="B96" t="str">
            <v>345.00</v>
          </cell>
          <cell r="C96" t="str">
            <v>Accessory Electric Equipment</v>
          </cell>
          <cell r="D96">
            <v>1199136</v>
          </cell>
          <cell r="E96">
            <v>1512139</v>
          </cell>
          <cell r="F96">
            <v>772253</v>
          </cell>
          <cell r="G96" t="str">
            <v>VG</v>
          </cell>
          <cell r="H96">
            <v>200</v>
          </cell>
          <cell r="I96" t="str">
            <v>SC</v>
          </cell>
          <cell r="J96">
            <v>37.33</v>
          </cell>
          <cell r="K96">
            <v>23.72</v>
          </cell>
          <cell r="L96">
            <v>-14.2</v>
          </cell>
          <cell r="M96">
            <v>0</v>
          </cell>
          <cell r="N96">
            <v>-2.1</v>
          </cell>
          <cell r="O96">
            <v>-2</v>
          </cell>
          <cell r="P96">
            <v>-4.5</v>
          </cell>
          <cell r="Q96">
            <v>16.399999999999999</v>
          </cell>
          <cell r="R96">
            <v>2046</v>
          </cell>
          <cell r="S96">
            <v>75050.224600000001</v>
          </cell>
          <cell r="T96">
            <v>0</v>
          </cell>
          <cell r="U96">
            <v>14.2</v>
          </cell>
          <cell r="V96">
            <v>0</v>
          </cell>
          <cell r="W96">
            <v>14.2</v>
          </cell>
          <cell r="X96">
            <v>-14.2</v>
          </cell>
          <cell r="Y96">
            <v>0</v>
          </cell>
          <cell r="Z96">
            <v>44561</v>
          </cell>
          <cell r="AA96">
            <v>449568.3</v>
          </cell>
          <cell r="AB96">
            <v>347383.57169999997</v>
          </cell>
          <cell r="AC96">
            <v>0</v>
          </cell>
          <cell r="AD96">
            <v>0</v>
          </cell>
          <cell r="AE96">
            <v>0</v>
          </cell>
          <cell r="AF96">
            <v>33575.807999999997</v>
          </cell>
          <cell r="AG96">
            <v>36933.388800000001</v>
          </cell>
        </row>
        <row r="97">
          <cell r="A97" t="str">
            <v>34600NLG004</v>
          </cell>
          <cell r="B97" t="str">
            <v>346.00</v>
          </cell>
          <cell r="C97" t="str">
            <v>Miscellaneous Power Plant Equip.</v>
          </cell>
          <cell r="D97">
            <v>92766</v>
          </cell>
          <cell r="E97">
            <v>172207</v>
          </cell>
          <cell r="F97">
            <v>49870</v>
          </cell>
          <cell r="G97" t="str">
            <v>VG</v>
          </cell>
          <cell r="H97">
            <v>200</v>
          </cell>
          <cell r="I97" t="str">
            <v>SC</v>
          </cell>
          <cell r="J97">
            <v>42.99</v>
          </cell>
          <cell r="K97">
            <v>23.71</v>
          </cell>
          <cell r="L97">
            <v>0</v>
          </cell>
          <cell r="M97">
            <v>0</v>
          </cell>
          <cell r="N97">
            <v>-2.1</v>
          </cell>
          <cell r="O97">
            <v>-2</v>
          </cell>
          <cell r="P97">
            <v>-1.1000000000000001</v>
          </cell>
          <cell r="Q97">
            <v>20.5</v>
          </cell>
          <cell r="R97">
            <v>2046</v>
          </cell>
          <cell r="S97">
            <v>5866.6589000000004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44561</v>
          </cell>
          <cell r="AA97">
            <v>47275.72</v>
          </cell>
          <cell r="AB97">
            <v>34907.254200000003</v>
          </cell>
          <cell r="AC97">
            <v>0</v>
          </cell>
          <cell r="AD97">
            <v>0</v>
          </cell>
          <cell r="AE97">
            <v>0</v>
          </cell>
          <cell r="AF97">
            <v>2180.0010000000002</v>
          </cell>
          <cell r="AG97">
            <v>2513.9585999999999</v>
          </cell>
        </row>
        <row r="98">
          <cell r="A98" t="str">
            <v>34400RIC015</v>
          </cell>
          <cell r="B98" t="str">
            <v>344.00</v>
          </cell>
          <cell r="C98" t="str">
            <v>Generators</v>
          </cell>
          <cell r="D98">
            <v>54612688</v>
          </cell>
          <cell r="E98">
            <v>55086998</v>
          </cell>
          <cell r="F98">
            <v>52902022</v>
          </cell>
          <cell r="G98" t="str">
            <v>VG</v>
          </cell>
          <cell r="H98">
            <v>200</v>
          </cell>
          <cell r="I98" t="str">
            <v>SC</v>
          </cell>
          <cell r="J98">
            <v>42.46</v>
          </cell>
          <cell r="K98">
            <v>41.13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1.5</v>
          </cell>
          <cell r="R98">
            <v>2065</v>
          </cell>
          <cell r="S98">
            <v>5892834.4310999997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44561</v>
          </cell>
          <cell r="AA98">
            <v>1746284.76</v>
          </cell>
          <cell r="AB98">
            <v>1918108.9537</v>
          </cell>
          <cell r="AC98">
            <v>0</v>
          </cell>
          <cell r="AD98">
            <v>0</v>
          </cell>
          <cell r="AE98">
            <v>0</v>
          </cell>
          <cell r="AF98">
            <v>1288859.4368</v>
          </cell>
          <cell r="AG98">
            <v>1283398.1680000001</v>
          </cell>
        </row>
        <row r="99">
          <cell r="A99" t="str">
            <v>34500RIC015</v>
          </cell>
          <cell r="B99" t="str">
            <v>345.00</v>
          </cell>
          <cell r="C99" t="str">
            <v>Accessory Electric Equipment</v>
          </cell>
          <cell r="D99">
            <v>15621</v>
          </cell>
          <cell r="E99">
            <v>15621</v>
          </cell>
          <cell r="F99">
            <v>15128</v>
          </cell>
          <cell r="G99" t="str">
            <v>VG</v>
          </cell>
          <cell r="H99">
            <v>200</v>
          </cell>
          <cell r="I99" t="str">
            <v>SC</v>
          </cell>
          <cell r="J99">
            <v>42.47</v>
          </cell>
          <cell r="K99">
            <v>41.13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1.5</v>
          </cell>
          <cell r="R99">
            <v>2065</v>
          </cell>
          <cell r="S99">
            <v>1685.5589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44561</v>
          </cell>
          <cell r="AA99">
            <v>172376.83</v>
          </cell>
          <cell r="AB99">
            <v>552.63630000000001</v>
          </cell>
          <cell r="AC99">
            <v>0</v>
          </cell>
          <cell r="AD99">
            <v>0</v>
          </cell>
          <cell r="AE99">
            <v>0</v>
          </cell>
          <cell r="AF99">
            <v>367.09350000000001</v>
          </cell>
          <cell r="AG99">
            <v>367.09350000000001</v>
          </cell>
        </row>
        <row r="100">
          <cell r="A100" t="str">
            <v>34400RIC610</v>
          </cell>
          <cell r="B100" t="str">
            <v>344.00</v>
          </cell>
          <cell r="C100" t="str">
            <v>Generators</v>
          </cell>
          <cell r="D100">
            <v>54090153</v>
          </cell>
          <cell r="E100">
            <v>54090153</v>
          </cell>
          <cell r="F100">
            <v>51295828</v>
          </cell>
          <cell r="G100" t="str">
            <v>VG</v>
          </cell>
          <cell r="H100">
            <v>200</v>
          </cell>
          <cell r="I100" t="str">
            <v>SC</v>
          </cell>
          <cell r="J100">
            <v>43.36</v>
          </cell>
          <cell r="K100">
            <v>41.12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2.5</v>
          </cell>
          <cell r="R100">
            <v>2065</v>
          </cell>
          <cell r="S100">
            <v>5851268.4234999996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44561</v>
          </cell>
          <cell r="AA100">
            <v>2680772.2999999998</v>
          </cell>
          <cell r="AB100">
            <v>2680772.2999999998</v>
          </cell>
          <cell r="AC100">
            <v>0</v>
          </cell>
          <cell r="AD100">
            <v>0</v>
          </cell>
          <cell r="AE100">
            <v>0</v>
          </cell>
          <cell r="AF100">
            <v>1249482.5342999999</v>
          </cell>
          <cell r="AG100">
            <v>1249482.5342999999</v>
          </cell>
        </row>
        <row r="101">
          <cell r="A101" t="str">
            <v>34100RICCM0</v>
          </cell>
          <cell r="B101" t="str">
            <v>341.00</v>
          </cell>
          <cell r="C101" t="str">
            <v>Structures and Improvements</v>
          </cell>
          <cell r="D101">
            <v>14546743</v>
          </cell>
          <cell r="E101">
            <v>14546743</v>
          </cell>
          <cell r="F101">
            <v>13946423</v>
          </cell>
          <cell r="G101" t="str">
            <v>VG</v>
          </cell>
          <cell r="H101">
            <v>200</v>
          </cell>
          <cell r="I101" t="str">
            <v>SC</v>
          </cell>
          <cell r="J101">
            <v>42.89</v>
          </cell>
          <cell r="K101">
            <v>41.12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2</v>
          </cell>
          <cell r="R101">
            <v>2065</v>
          </cell>
          <cell r="S101">
            <v>1571517.2575000001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44561</v>
          </cell>
          <cell r="AA101">
            <v>599877.84</v>
          </cell>
          <cell r="AB101">
            <v>462205.86440000002</v>
          </cell>
          <cell r="AC101">
            <v>0</v>
          </cell>
          <cell r="AD101">
            <v>0</v>
          </cell>
          <cell r="AE101">
            <v>0</v>
          </cell>
          <cell r="AF101">
            <v>338939.11190000002</v>
          </cell>
          <cell r="AG101">
            <v>341848.46049999999</v>
          </cell>
        </row>
        <row r="102">
          <cell r="A102" t="str">
            <v>34300RICCM0</v>
          </cell>
          <cell r="B102" t="str">
            <v>343.00</v>
          </cell>
          <cell r="C102" t="str">
            <v>Prime Movers</v>
          </cell>
          <cell r="D102">
            <v>10919616</v>
          </cell>
          <cell r="E102">
            <v>10919616</v>
          </cell>
          <cell r="F102">
            <v>9670248</v>
          </cell>
          <cell r="G102" t="str">
            <v>VG</v>
          </cell>
          <cell r="H102">
            <v>200</v>
          </cell>
          <cell r="I102" t="str">
            <v>SC</v>
          </cell>
          <cell r="J102">
            <v>46.41</v>
          </cell>
          <cell r="K102">
            <v>41.1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6.1</v>
          </cell>
          <cell r="R102">
            <v>2065</v>
          </cell>
          <cell r="S102">
            <v>1191946.8385999999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44561</v>
          </cell>
          <cell r="AA102">
            <v>1252928.55</v>
          </cell>
          <cell r="AB102">
            <v>961928.48190000001</v>
          </cell>
          <cell r="AC102">
            <v>0</v>
          </cell>
          <cell r="AD102">
            <v>0</v>
          </cell>
          <cell r="AE102">
            <v>0</v>
          </cell>
          <cell r="AF102">
            <v>234771.74400000001</v>
          </cell>
          <cell r="AG102">
            <v>242415.47519999999</v>
          </cell>
        </row>
        <row r="103">
          <cell r="A103" t="str">
            <v>34400RICCM0</v>
          </cell>
          <cell r="B103" t="str">
            <v>344.00</v>
          </cell>
          <cell r="C103" t="str">
            <v>Generators</v>
          </cell>
          <cell r="D103">
            <v>45736299</v>
          </cell>
          <cell r="E103">
            <v>45736299</v>
          </cell>
          <cell r="F103">
            <v>43828399</v>
          </cell>
          <cell r="G103" t="str">
            <v>VG</v>
          </cell>
          <cell r="H103">
            <v>200</v>
          </cell>
          <cell r="I103" t="str">
            <v>SC</v>
          </cell>
          <cell r="J103">
            <v>42.91</v>
          </cell>
          <cell r="K103">
            <v>41.12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2</v>
          </cell>
          <cell r="R103">
            <v>2065</v>
          </cell>
          <cell r="S103">
            <v>4941309.5636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44561</v>
          </cell>
          <cell r="AA103">
            <v>1133322.18</v>
          </cell>
          <cell r="AB103">
            <v>1468953.3366</v>
          </cell>
          <cell r="AC103">
            <v>0</v>
          </cell>
          <cell r="AD103">
            <v>0</v>
          </cell>
          <cell r="AE103">
            <v>0</v>
          </cell>
          <cell r="AF103">
            <v>1065655.7667</v>
          </cell>
          <cell r="AG103">
            <v>1074803.0264999999</v>
          </cell>
        </row>
        <row r="104">
          <cell r="A104" t="str">
            <v>34500RICCM0</v>
          </cell>
          <cell r="B104" t="str">
            <v>345.00</v>
          </cell>
          <cell r="C104" t="str">
            <v>Accessory Electric Equipment</v>
          </cell>
          <cell r="D104">
            <v>25093955</v>
          </cell>
          <cell r="E104">
            <v>25093955</v>
          </cell>
          <cell r="F104">
            <v>24024760</v>
          </cell>
          <cell r="G104" t="str">
            <v>VG</v>
          </cell>
          <cell r="H104">
            <v>200</v>
          </cell>
          <cell r="I104" t="str">
            <v>SC</v>
          </cell>
          <cell r="J104">
            <v>42.95</v>
          </cell>
          <cell r="K104">
            <v>41.12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2</v>
          </cell>
          <cell r="R104">
            <v>2065</v>
          </cell>
          <cell r="S104">
            <v>2711424.3009000001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44561</v>
          </cell>
          <cell r="AA104">
            <v>730166.96</v>
          </cell>
          <cell r="AB104">
            <v>823207.84710000001</v>
          </cell>
          <cell r="AC104">
            <v>0</v>
          </cell>
          <cell r="AD104">
            <v>0</v>
          </cell>
          <cell r="AE104">
            <v>0</v>
          </cell>
          <cell r="AF104">
            <v>584689.15150000004</v>
          </cell>
          <cell r="AG104">
            <v>589707.9425</v>
          </cell>
        </row>
        <row r="105">
          <cell r="A105" t="str">
            <v>34100SNT001</v>
          </cell>
          <cell r="B105" t="str">
            <v>341.00</v>
          </cell>
          <cell r="C105" t="str">
            <v>Structures and Improvements</v>
          </cell>
          <cell r="D105">
            <v>85157</v>
          </cell>
          <cell r="E105">
            <v>85963</v>
          </cell>
          <cell r="F105">
            <v>40717</v>
          </cell>
          <cell r="G105" t="str">
            <v>VG</v>
          </cell>
          <cell r="H105">
            <v>200</v>
          </cell>
          <cell r="I105" t="str">
            <v>SC</v>
          </cell>
          <cell r="J105">
            <v>11.18</v>
          </cell>
          <cell r="K105">
            <v>5.46</v>
          </cell>
          <cell r="L105">
            <v>0</v>
          </cell>
          <cell r="M105">
            <v>0</v>
          </cell>
          <cell r="N105">
            <v>-2</v>
          </cell>
          <cell r="O105">
            <v>-2</v>
          </cell>
          <cell r="P105">
            <v>-2</v>
          </cell>
          <cell r="Q105">
            <v>7.4</v>
          </cell>
          <cell r="R105">
            <v>2027</v>
          </cell>
          <cell r="S105">
            <v>1085.1183000000001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44561</v>
          </cell>
          <cell r="AA105">
            <v>12986.47</v>
          </cell>
          <cell r="AB105">
            <v>44347.176200000002</v>
          </cell>
          <cell r="AC105">
            <v>0</v>
          </cell>
          <cell r="AD105">
            <v>0</v>
          </cell>
          <cell r="AE105">
            <v>0</v>
          </cell>
          <cell r="AF105">
            <v>7766.3184000000001</v>
          </cell>
          <cell r="AG105">
            <v>7783.3498</v>
          </cell>
        </row>
        <row r="106">
          <cell r="A106" t="str">
            <v>34200SNT001</v>
          </cell>
          <cell r="B106" t="str">
            <v>342.00</v>
          </cell>
          <cell r="C106" t="str">
            <v>Fuel Holders and Accessories</v>
          </cell>
          <cell r="D106">
            <v>394168</v>
          </cell>
          <cell r="E106">
            <v>394168</v>
          </cell>
          <cell r="F106">
            <v>104288</v>
          </cell>
          <cell r="G106" t="str">
            <v>VG</v>
          </cell>
          <cell r="H106">
            <v>200</v>
          </cell>
          <cell r="I106" t="str">
            <v>SC</v>
          </cell>
          <cell r="J106">
            <v>19.57</v>
          </cell>
          <cell r="K106">
            <v>5.46</v>
          </cell>
          <cell r="L106">
            <v>0</v>
          </cell>
          <cell r="M106">
            <v>0</v>
          </cell>
          <cell r="N106">
            <v>-2</v>
          </cell>
          <cell r="O106">
            <v>-2</v>
          </cell>
          <cell r="P106">
            <v>-2</v>
          </cell>
          <cell r="Q106">
            <v>15.7</v>
          </cell>
          <cell r="R106">
            <v>2027</v>
          </cell>
          <cell r="S106">
            <v>5130.7919000000002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44561</v>
          </cell>
          <cell r="AA106">
            <v>364284.36</v>
          </cell>
          <cell r="AB106">
            <v>289273.69640000002</v>
          </cell>
          <cell r="AC106">
            <v>0</v>
          </cell>
          <cell r="AD106">
            <v>0</v>
          </cell>
          <cell r="AE106">
            <v>0</v>
          </cell>
          <cell r="AF106">
            <v>20536.1528</v>
          </cell>
          <cell r="AG106">
            <v>20654.403200000001</v>
          </cell>
        </row>
        <row r="107">
          <cell r="A107" t="str">
            <v>34300SNT001</v>
          </cell>
          <cell r="B107" t="str">
            <v>343.00</v>
          </cell>
          <cell r="C107" t="str">
            <v>Prime Movers</v>
          </cell>
          <cell r="D107">
            <v>708180</v>
          </cell>
          <cell r="E107">
            <v>716874</v>
          </cell>
          <cell r="F107">
            <v>307270</v>
          </cell>
          <cell r="G107" t="str">
            <v>VG</v>
          </cell>
          <cell r="H107">
            <v>200</v>
          </cell>
          <cell r="I107" t="str">
            <v>SC</v>
          </cell>
          <cell r="J107">
            <v>12.27</v>
          </cell>
          <cell r="K107">
            <v>5.46</v>
          </cell>
          <cell r="L107">
            <v>0</v>
          </cell>
          <cell r="M107">
            <v>0</v>
          </cell>
          <cell r="N107">
            <v>-2</v>
          </cell>
          <cell r="O107">
            <v>-2</v>
          </cell>
          <cell r="P107">
            <v>-2</v>
          </cell>
          <cell r="Q107">
            <v>7.6</v>
          </cell>
          <cell r="R107">
            <v>2027</v>
          </cell>
          <cell r="S107">
            <v>9024.9104000000007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44561</v>
          </cell>
          <cell r="AA107">
            <v>176027.54</v>
          </cell>
          <cell r="AB107">
            <v>400071.4866</v>
          </cell>
          <cell r="AC107">
            <v>0</v>
          </cell>
          <cell r="AD107">
            <v>0</v>
          </cell>
          <cell r="AE107">
            <v>0</v>
          </cell>
          <cell r="AF107">
            <v>58849.758000000002</v>
          </cell>
          <cell r="AG107">
            <v>59062.212</v>
          </cell>
        </row>
        <row r="108">
          <cell r="A108" t="str">
            <v>34400SNT001</v>
          </cell>
          <cell r="B108" t="str">
            <v>344.00</v>
          </cell>
          <cell r="C108" t="str">
            <v>Generators</v>
          </cell>
          <cell r="D108">
            <v>4251927</v>
          </cell>
          <cell r="E108">
            <v>4565512</v>
          </cell>
          <cell r="F108">
            <v>497398</v>
          </cell>
          <cell r="G108" t="str">
            <v>VG</v>
          </cell>
          <cell r="H108">
            <v>200</v>
          </cell>
          <cell r="I108" t="str">
            <v>SC</v>
          </cell>
          <cell r="J108">
            <v>39.659999999999997</v>
          </cell>
          <cell r="K108">
            <v>5.46</v>
          </cell>
          <cell r="L108">
            <v>34.700000000000003</v>
          </cell>
          <cell r="M108">
            <v>0</v>
          </cell>
          <cell r="N108">
            <v>-2</v>
          </cell>
          <cell r="O108">
            <v>-2</v>
          </cell>
          <cell r="P108">
            <v>0.5</v>
          </cell>
          <cell r="Q108">
            <v>40.5</v>
          </cell>
          <cell r="R108">
            <v>2027</v>
          </cell>
          <cell r="S108">
            <v>59189.196499999998</v>
          </cell>
          <cell r="T108">
            <v>0</v>
          </cell>
          <cell r="U108">
            <v>-34.700000000000003</v>
          </cell>
          <cell r="V108">
            <v>0</v>
          </cell>
          <cell r="W108">
            <v>-34.700000000000003</v>
          </cell>
          <cell r="X108">
            <v>34.700000000000003</v>
          </cell>
          <cell r="Y108">
            <v>0</v>
          </cell>
          <cell r="Z108">
            <v>44561</v>
          </cell>
          <cell r="AA108">
            <v>4452848.26</v>
          </cell>
          <cell r="AB108">
            <v>3746680.4451000001</v>
          </cell>
          <cell r="AC108">
            <v>0</v>
          </cell>
          <cell r="AD108">
            <v>0</v>
          </cell>
          <cell r="AE108">
            <v>0</v>
          </cell>
          <cell r="AF108">
            <v>106723.3677</v>
          </cell>
          <cell r="AG108">
            <v>107998.9458</v>
          </cell>
        </row>
        <row r="109">
          <cell r="A109" t="str">
            <v>34500SNT001</v>
          </cell>
          <cell r="B109" t="str">
            <v>345.00</v>
          </cell>
          <cell r="C109" t="str">
            <v>Accessory Electric Equipment</v>
          </cell>
          <cell r="D109">
            <v>2238999</v>
          </cell>
          <cell r="E109">
            <v>2396600</v>
          </cell>
          <cell r="F109">
            <v>1144205</v>
          </cell>
          <cell r="G109" t="str">
            <v>VG</v>
          </cell>
          <cell r="H109">
            <v>200</v>
          </cell>
          <cell r="I109" t="str">
            <v>SC</v>
          </cell>
          <cell r="J109">
            <v>10.58</v>
          </cell>
          <cell r="K109">
            <v>5.46</v>
          </cell>
          <cell r="L109">
            <v>-15.1</v>
          </cell>
          <cell r="M109">
            <v>0</v>
          </cell>
          <cell r="N109">
            <v>-2</v>
          </cell>
          <cell r="O109">
            <v>-2</v>
          </cell>
          <cell r="P109">
            <v>-2.9</v>
          </cell>
          <cell r="Q109">
            <v>9</v>
          </cell>
          <cell r="R109">
            <v>2027</v>
          </cell>
          <cell r="S109">
            <v>28669.702099999999</v>
          </cell>
          <cell r="T109">
            <v>-0.1</v>
          </cell>
          <cell r="U109">
            <v>15</v>
          </cell>
          <cell r="V109">
            <v>-0.1</v>
          </cell>
          <cell r="W109">
            <v>15</v>
          </cell>
          <cell r="X109">
            <v>-15.1</v>
          </cell>
          <cell r="Y109">
            <v>0</v>
          </cell>
          <cell r="Z109">
            <v>44561</v>
          </cell>
          <cell r="AA109">
            <v>563303.12</v>
          </cell>
          <cell r="AB109">
            <v>1092505.8203</v>
          </cell>
          <cell r="AC109">
            <v>0</v>
          </cell>
          <cell r="AD109">
            <v>0</v>
          </cell>
          <cell r="AE109">
            <v>0</v>
          </cell>
          <cell r="AF109">
            <v>217854.60269999999</v>
          </cell>
          <cell r="AG109">
            <v>218302.4025</v>
          </cell>
        </row>
        <row r="110">
          <cell r="A110" t="str">
            <v>34600SNT001</v>
          </cell>
          <cell r="B110" t="str">
            <v>346.00</v>
          </cell>
          <cell r="C110" t="str">
            <v>Miscellaneous Power Plant Equip.</v>
          </cell>
          <cell r="D110">
            <v>19906</v>
          </cell>
          <cell r="E110">
            <v>19906</v>
          </cell>
          <cell r="F110">
            <v>1698</v>
          </cell>
          <cell r="G110" t="str">
            <v>VG</v>
          </cell>
          <cell r="H110">
            <v>200</v>
          </cell>
          <cell r="I110" t="str">
            <v>SC</v>
          </cell>
          <cell r="J110">
            <v>52.88</v>
          </cell>
          <cell r="K110">
            <v>5.46</v>
          </cell>
          <cell r="L110">
            <v>0</v>
          </cell>
          <cell r="M110">
            <v>0</v>
          </cell>
          <cell r="N110">
            <v>-2</v>
          </cell>
          <cell r="O110">
            <v>-2</v>
          </cell>
          <cell r="P110">
            <v>-2</v>
          </cell>
          <cell r="Q110">
            <v>48.3</v>
          </cell>
          <cell r="R110">
            <v>2027</v>
          </cell>
          <cell r="S110">
            <v>283.04489999999998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44561</v>
          </cell>
          <cell r="AA110">
            <v>21598.48</v>
          </cell>
          <cell r="AB110">
            <v>18169.605500000001</v>
          </cell>
          <cell r="AC110">
            <v>0</v>
          </cell>
          <cell r="AD110">
            <v>0</v>
          </cell>
          <cell r="AE110">
            <v>0</v>
          </cell>
          <cell r="AF110">
            <v>384.18579999999997</v>
          </cell>
          <cell r="AG110">
            <v>390.1576</v>
          </cell>
        </row>
        <row r="111">
          <cell r="A111" t="str">
            <v>34100SNT002</v>
          </cell>
          <cell r="B111" t="str">
            <v>341.00</v>
          </cell>
          <cell r="C111" t="str">
            <v>Structures and Improvements</v>
          </cell>
          <cell r="D111">
            <v>85157</v>
          </cell>
          <cell r="E111">
            <v>85963</v>
          </cell>
          <cell r="F111">
            <v>40760</v>
          </cell>
          <cell r="G111" t="str">
            <v>VG</v>
          </cell>
          <cell r="H111">
            <v>200</v>
          </cell>
          <cell r="I111" t="str">
            <v>SC</v>
          </cell>
          <cell r="J111">
            <v>11.18</v>
          </cell>
          <cell r="K111">
            <v>5.46</v>
          </cell>
          <cell r="L111">
            <v>0</v>
          </cell>
          <cell r="M111">
            <v>0</v>
          </cell>
          <cell r="N111">
            <v>-1.9</v>
          </cell>
          <cell r="O111">
            <v>-1.9</v>
          </cell>
          <cell r="P111">
            <v>-1.9</v>
          </cell>
          <cell r="Q111">
            <v>7.4</v>
          </cell>
          <cell r="R111">
            <v>2027</v>
          </cell>
          <cell r="S111">
            <v>1085.1179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44561</v>
          </cell>
          <cell r="AA111">
            <v>12883.68</v>
          </cell>
          <cell r="AB111">
            <v>42512.580999999998</v>
          </cell>
          <cell r="AC111">
            <v>0</v>
          </cell>
          <cell r="AD111">
            <v>0</v>
          </cell>
          <cell r="AE111">
            <v>0</v>
          </cell>
          <cell r="AF111">
            <v>7757.8027000000002</v>
          </cell>
          <cell r="AG111">
            <v>8106.9463999999998</v>
          </cell>
        </row>
        <row r="112">
          <cell r="A112" t="str">
            <v>34200SNT002</v>
          </cell>
          <cell r="B112" t="str">
            <v>342.00</v>
          </cell>
          <cell r="C112" t="str">
            <v>Fuel Holders and Accessories</v>
          </cell>
          <cell r="D112">
            <v>394168</v>
          </cell>
          <cell r="E112">
            <v>394168</v>
          </cell>
          <cell r="F112">
            <v>104573</v>
          </cell>
          <cell r="G112" t="str">
            <v>VG</v>
          </cell>
          <cell r="H112">
            <v>200</v>
          </cell>
          <cell r="I112" t="str">
            <v>SC</v>
          </cell>
          <cell r="J112">
            <v>19.57</v>
          </cell>
          <cell r="K112">
            <v>5.46</v>
          </cell>
          <cell r="L112">
            <v>0</v>
          </cell>
          <cell r="M112">
            <v>0</v>
          </cell>
          <cell r="N112">
            <v>-1.9</v>
          </cell>
          <cell r="O112">
            <v>-1.9</v>
          </cell>
          <cell r="P112">
            <v>-1.9</v>
          </cell>
          <cell r="Q112">
            <v>15.7</v>
          </cell>
          <cell r="R112">
            <v>2027</v>
          </cell>
          <cell r="S112">
            <v>5130.7947999999997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44561</v>
          </cell>
          <cell r="AA112">
            <v>367557.22</v>
          </cell>
          <cell r="AB112">
            <v>277306.75319999998</v>
          </cell>
          <cell r="AC112">
            <v>0</v>
          </cell>
          <cell r="AD112">
            <v>0</v>
          </cell>
          <cell r="AE112">
            <v>0</v>
          </cell>
          <cell r="AF112">
            <v>20536.1528</v>
          </cell>
          <cell r="AG112">
            <v>22782.910400000001</v>
          </cell>
        </row>
        <row r="113">
          <cell r="A113" t="str">
            <v>34300SNT002</v>
          </cell>
          <cell r="B113" t="str">
            <v>343.00</v>
          </cell>
          <cell r="C113" t="str">
            <v>Prime Movers</v>
          </cell>
          <cell r="D113">
            <v>703236</v>
          </cell>
          <cell r="E113">
            <v>708339</v>
          </cell>
          <cell r="F113">
            <v>302682</v>
          </cell>
          <cell r="G113" t="str">
            <v>VG</v>
          </cell>
          <cell r="H113">
            <v>200</v>
          </cell>
          <cell r="I113" t="str">
            <v>SC</v>
          </cell>
          <cell r="J113">
            <v>12.38</v>
          </cell>
          <cell r="K113">
            <v>5.46</v>
          </cell>
          <cell r="L113">
            <v>0</v>
          </cell>
          <cell r="M113">
            <v>0</v>
          </cell>
          <cell r="N113">
            <v>-1.9</v>
          </cell>
          <cell r="O113">
            <v>-1.9</v>
          </cell>
          <cell r="P113">
            <v>-1.9</v>
          </cell>
          <cell r="Q113">
            <v>7.7</v>
          </cell>
          <cell r="R113">
            <v>2027</v>
          </cell>
          <cell r="S113">
            <v>8964.8734000000004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44561</v>
          </cell>
          <cell r="AA113">
            <v>179788.6</v>
          </cell>
          <cell r="AB113">
            <v>383556.58120000002</v>
          </cell>
          <cell r="AC113">
            <v>0</v>
          </cell>
          <cell r="AD113">
            <v>0</v>
          </cell>
          <cell r="AE113">
            <v>0</v>
          </cell>
          <cell r="AF113">
            <v>57876.322800000002</v>
          </cell>
          <cell r="AG113">
            <v>60970.561199999996</v>
          </cell>
        </row>
        <row r="114">
          <cell r="A114" t="str">
            <v>34400SNT002</v>
          </cell>
          <cell r="B114" t="str">
            <v>344.00</v>
          </cell>
          <cell r="C114" t="str">
            <v>Generators</v>
          </cell>
          <cell r="D114">
            <v>4501853</v>
          </cell>
          <cell r="E114">
            <v>5197189</v>
          </cell>
          <cell r="F114">
            <v>839721</v>
          </cell>
          <cell r="G114" t="str">
            <v>VG</v>
          </cell>
          <cell r="H114">
            <v>200</v>
          </cell>
          <cell r="I114" t="str">
            <v>SC</v>
          </cell>
          <cell r="J114">
            <v>28.08</v>
          </cell>
          <cell r="K114">
            <v>5.46</v>
          </cell>
          <cell r="L114">
            <v>-30.3</v>
          </cell>
          <cell r="M114">
            <v>0</v>
          </cell>
          <cell r="N114">
            <v>-1.9</v>
          </cell>
          <cell r="O114">
            <v>-1.9</v>
          </cell>
          <cell r="P114">
            <v>-5.7</v>
          </cell>
          <cell r="Q114">
            <v>35.1</v>
          </cell>
          <cell r="R114">
            <v>2027</v>
          </cell>
          <cell r="S114">
            <v>61816.262300000002</v>
          </cell>
          <cell r="T114">
            <v>0</v>
          </cell>
          <cell r="U114">
            <v>30.3</v>
          </cell>
          <cell r="V114">
            <v>0</v>
          </cell>
          <cell r="W114">
            <v>30.3</v>
          </cell>
          <cell r="X114">
            <v>-30.3</v>
          </cell>
          <cell r="Y114">
            <v>0</v>
          </cell>
          <cell r="Z114">
            <v>44561</v>
          </cell>
          <cell r="AA114">
            <v>4175131.89</v>
          </cell>
          <cell r="AB114">
            <v>3506733.3810000001</v>
          </cell>
          <cell r="AC114">
            <v>0</v>
          </cell>
          <cell r="AD114">
            <v>0</v>
          </cell>
          <cell r="AE114">
            <v>0</v>
          </cell>
          <cell r="AF114">
            <v>169269.6728</v>
          </cell>
          <cell r="AG114">
            <v>198081.53200000001</v>
          </cell>
        </row>
        <row r="115">
          <cell r="A115" t="str">
            <v>34500SNT002</v>
          </cell>
          <cell r="B115" t="str">
            <v>345.00</v>
          </cell>
          <cell r="C115" t="str">
            <v>Accessory Electric Equipment</v>
          </cell>
          <cell r="D115">
            <v>2408390</v>
          </cell>
          <cell r="E115">
            <v>2601383</v>
          </cell>
          <cell r="F115">
            <v>1237972</v>
          </cell>
          <cell r="G115" t="str">
            <v>VG</v>
          </cell>
          <cell r="H115">
            <v>200</v>
          </cell>
          <cell r="I115" t="str">
            <v>SC</v>
          </cell>
          <cell r="J115">
            <v>10.52</v>
          </cell>
          <cell r="K115">
            <v>5.46</v>
          </cell>
          <cell r="L115">
            <v>-12.9</v>
          </cell>
          <cell r="M115">
            <v>0</v>
          </cell>
          <cell r="N115">
            <v>-1.9</v>
          </cell>
          <cell r="O115">
            <v>-1.9</v>
          </cell>
          <cell r="P115">
            <v>-2.7</v>
          </cell>
          <cell r="Q115">
            <v>8.6</v>
          </cell>
          <cell r="R115">
            <v>2027</v>
          </cell>
          <cell r="S115">
            <v>30799.922500000001</v>
          </cell>
          <cell r="T115">
            <v>0</v>
          </cell>
          <cell r="U115">
            <v>12.9</v>
          </cell>
          <cell r="V115">
            <v>0</v>
          </cell>
          <cell r="W115">
            <v>12.4</v>
          </cell>
          <cell r="X115">
            <v>-12.4</v>
          </cell>
          <cell r="Y115">
            <v>0</v>
          </cell>
          <cell r="Z115">
            <v>44561</v>
          </cell>
          <cell r="AA115">
            <v>588739.86</v>
          </cell>
          <cell r="AB115">
            <v>1120752.4802999999</v>
          </cell>
          <cell r="AC115">
            <v>0</v>
          </cell>
          <cell r="AD115">
            <v>0</v>
          </cell>
          <cell r="AE115">
            <v>0</v>
          </cell>
          <cell r="AF115">
            <v>235058.864</v>
          </cell>
          <cell r="AG115">
            <v>244210.74600000001</v>
          </cell>
        </row>
        <row r="116">
          <cell r="A116" t="str">
            <v>34600SNT002</v>
          </cell>
          <cell r="B116" t="str">
            <v>346.00</v>
          </cell>
          <cell r="C116" t="str">
            <v>Miscellaneous Power Plant Equip.</v>
          </cell>
          <cell r="D116">
            <v>29844</v>
          </cell>
          <cell r="E116">
            <v>29844</v>
          </cell>
          <cell r="F116">
            <v>2626</v>
          </cell>
          <cell r="G116" t="str">
            <v>VG</v>
          </cell>
          <cell r="H116">
            <v>200</v>
          </cell>
          <cell r="I116" t="str">
            <v>SC</v>
          </cell>
          <cell r="J116">
            <v>52</v>
          </cell>
          <cell r="K116">
            <v>5.46</v>
          </cell>
          <cell r="L116">
            <v>0</v>
          </cell>
          <cell r="M116">
            <v>0</v>
          </cell>
          <cell r="N116">
            <v>-1.9</v>
          </cell>
          <cell r="O116">
            <v>-1.9</v>
          </cell>
          <cell r="P116">
            <v>-1.9</v>
          </cell>
          <cell r="Q116">
            <v>47.4</v>
          </cell>
          <cell r="R116">
            <v>2027</v>
          </cell>
          <cell r="S116">
            <v>423.20839999999998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44561</v>
          </cell>
          <cell r="AA116">
            <v>32823.440000000002</v>
          </cell>
          <cell r="AB116">
            <v>26062.913400000001</v>
          </cell>
          <cell r="AC116">
            <v>0</v>
          </cell>
          <cell r="AD116">
            <v>0</v>
          </cell>
          <cell r="AE116">
            <v>0</v>
          </cell>
          <cell r="AF116">
            <v>584.94240000000002</v>
          </cell>
          <cell r="AG116">
            <v>796.83479999999997</v>
          </cell>
        </row>
        <row r="117">
          <cell r="A117" t="str">
            <v>340RWOSOWND</v>
          </cell>
          <cell r="B117" t="str">
            <v>340.RW</v>
          </cell>
          <cell r="C117" t="str">
            <v>Rights of Way</v>
          </cell>
          <cell r="D117">
            <v>54823</v>
          </cell>
          <cell r="E117">
            <v>54823</v>
          </cell>
          <cell r="F117">
            <v>52266</v>
          </cell>
          <cell r="G117" t="str">
            <v>VG</v>
          </cell>
          <cell r="H117">
            <v>200</v>
          </cell>
          <cell r="I117" t="str">
            <v>SC</v>
          </cell>
          <cell r="J117">
            <v>29.8</v>
          </cell>
          <cell r="K117">
            <v>28.41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1.5</v>
          </cell>
          <cell r="R117">
            <v>2051</v>
          </cell>
          <cell r="S117">
            <v>3989.6603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44561</v>
          </cell>
          <cell r="AA117">
            <v>2719.85</v>
          </cell>
          <cell r="AB117">
            <v>3168.3512999999998</v>
          </cell>
          <cell r="AC117">
            <v>0</v>
          </cell>
          <cell r="AD117">
            <v>0</v>
          </cell>
          <cell r="AE117">
            <v>0</v>
          </cell>
          <cell r="AF117">
            <v>1842.0527999999999</v>
          </cell>
          <cell r="AG117">
            <v>1820.1235999999999</v>
          </cell>
        </row>
        <row r="118">
          <cell r="A118" t="str">
            <v>34100OSOWND</v>
          </cell>
          <cell r="B118" t="str">
            <v>341.00</v>
          </cell>
          <cell r="C118" t="str">
            <v>Structures and Improvements</v>
          </cell>
          <cell r="D118">
            <v>10661584</v>
          </cell>
          <cell r="E118">
            <v>10661584</v>
          </cell>
          <cell r="F118">
            <v>10481308</v>
          </cell>
          <cell r="G118" t="str">
            <v>VG</v>
          </cell>
          <cell r="H118">
            <v>200</v>
          </cell>
          <cell r="I118" t="str">
            <v>SC</v>
          </cell>
          <cell r="J118">
            <v>28.88</v>
          </cell>
          <cell r="K118">
            <v>28.41</v>
          </cell>
          <cell r="L118">
            <v>0</v>
          </cell>
          <cell r="M118">
            <v>0</v>
          </cell>
          <cell r="N118">
            <v>-4.2</v>
          </cell>
          <cell r="O118">
            <v>-3.9</v>
          </cell>
          <cell r="P118">
            <v>-3.9</v>
          </cell>
          <cell r="Q118">
            <v>0.5</v>
          </cell>
          <cell r="R118">
            <v>2051</v>
          </cell>
          <cell r="S118">
            <v>773934.49699999997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44561</v>
          </cell>
          <cell r="AA118">
            <v>376053.49</v>
          </cell>
          <cell r="AB118">
            <v>223362.33989999999</v>
          </cell>
          <cell r="AC118">
            <v>0</v>
          </cell>
          <cell r="AD118">
            <v>0</v>
          </cell>
          <cell r="AE118">
            <v>0</v>
          </cell>
          <cell r="AF118">
            <v>383817.02399999998</v>
          </cell>
          <cell r="AG118">
            <v>381684.7072</v>
          </cell>
        </row>
        <row r="119">
          <cell r="A119" t="str">
            <v>34400OSOWND</v>
          </cell>
          <cell r="B119" t="str">
            <v>344.00</v>
          </cell>
          <cell r="C119" t="str">
            <v>Generators</v>
          </cell>
          <cell r="D119">
            <v>281369265</v>
          </cell>
          <cell r="E119">
            <v>281369265</v>
          </cell>
          <cell r="F119">
            <v>276611611</v>
          </cell>
          <cell r="G119" t="str">
            <v>VG</v>
          </cell>
          <cell r="H119">
            <v>200</v>
          </cell>
          <cell r="I119" t="str">
            <v>SC</v>
          </cell>
          <cell r="J119">
            <v>28.88</v>
          </cell>
          <cell r="K119">
            <v>28.41</v>
          </cell>
          <cell r="L119">
            <v>0</v>
          </cell>
          <cell r="M119">
            <v>0</v>
          </cell>
          <cell r="N119">
            <v>-4.2</v>
          </cell>
          <cell r="O119">
            <v>-3.9</v>
          </cell>
          <cell r="P119">
            <v>-3.9</v>
          </cell>
          <cell r="Q119">
            <v>0.5</v>
          </cell>
          <cell r="R119">
            <v>2051</v>
          </cell>
          <cell r="S119">
            <v>20424861.170000002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44561</v>
          </cell>
          <cell r="AA119">
            <v>5469297.2800000003</v>
          </cell>
          <cell r="AB119">
            <v>5894742.9764</v>
          </cell>
          <cell r="AC119">
            <v>0</v>
          </cell>
          <cell r="AD119">
            <v>0</v>
          </cell>
          <cell r="AE119">
            <v>0</v>
          </cell>
          <cell r="AF119">
            <v>10129293.539999999</v>
          </cell>
          <cell r="AG119">
            <v>10073019.687000001</v>
          </cell>
        </row>
        <row r="120">
          <cell r="A120" t="str">
            <v>34500OSOWND</v>
          </cell>
          <cell r="B120" t="str">
            <v>345.00</v>
          </cell>
          <cell r="C120" t="str">
            <v>Accessory Electric Equipment</v>
          </cell>
          <cell r="D120">
            <v>56415222</v>
          </cell>
          <cell r="E120">
            <v>56415222</v>
          </cell>
          <cell r="F120">
            <v>55461301</v>
          </cell>
          <cell r="G120" t="str">
            <v>VG</v>
          </cell>
          <cell r="H120">
            <v>200</v>
          </cell>
          <cell r="I120" t="str">
            <v>SC</v>
          </cell>
          <cell r="J120">
            <v>28.88</v>
          </cell>
          <cell r="K120">
            <v>28.41</v>
          </cell>
          <cell r="L120">
            <v>0</v>
          </cell>
          <cell r="M120">
            <v>0</v>
          </cell>
          <cell r="N120">
            <v>-4.2</v>
          </cell>
          <cell r="O120">
            <v>-3.9</v>
          </cell>
          <cell r="P120">
            <v>-3.9</v>
          </cell>
          <cell r="Q120">
            <v>0.5</v>
          </cell>
          <cell r="R120">
            <v>2051</v>
          </cell>
          <cell r="S120">
            <v>4095234.3319999999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44561</v>
          </cell>
          <cell r="AA120">
            <v>1456041.56</v>
          </cell>
          <cell r="AB120">
            <v>1181910.3044</v>
          </cell>
          <cell r="AC120">
            <v>0</v>
          </cell>
          <cell r="AD120">
            <v>0</v>
          </cell>
          <cell r="AE120">
            <v>0</v>
          </cell>
          <cell r="AF120">
            <v>2030947.9920000001</v>
          </cell>
          <cell r="AG120">
            <v>2019664.9476000001</v>
          </cell>
        </row>
        <row r="121">
          <cell r="A121" t="str">
            <v>34600OSOWND</v>
          </cell>
          <cell r="B121" t="str">
            <v>346.00</v>
          </cell>
          <cell r="C121" t="str">
            <v>Miscellaneous Power Plant Equip.</v>
          </cell>
          <cell r="D121">
            <v>59143</v>
          </cell>
          <cell r="E121">
            <v>59143</v>
          </cell>
          <cell r="F121">
            <v>58143</v>
          </cell>
          <cell r="G121" t="str">
            <v>VG</v>
          </cell>
          <cell r="H121">
            <v>200</v>
          </cell>
          <cell r="I121" t="str">
            <v>SC</v>
          </cell>
          <cell r="J121">
            <v>28.88</v>
          </cell>
          <cell r="K121">
            <v>28.41</v>
          </cell>
          <cell r="L121">
            <v>0</v>
          </cell>
          <cell r="M121">
            <v>0</v>
          </cell>
          <cell r="N121">
            <v>-4.2</v>
          </cell>
          <cell r="O121">
            <v>-3.9</v>
          </cell>
          <cell r="P121">
            <v>-3.9</v>
          </cell>
          <cell r="Q121">
            <v>0.5</v>
          </cell>
          <cell r="R121">
            <v>2051</v>
          </cell>
          <cell r="S121">
            <v>4293.2389999999996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44561</v>
          </cell>
          <cell r="AA121">
            <v>310.85000000000002</v>
          </cell>
          <cell r="AB121">
            <v>1239.0579</v>
          </cell>
          <cell r="AC121">
            <v>0</v>
          </cell>
          <cell r="AD121">
            <v>0</v>
          </cell>
          <cell r="AE121">
            <v>0</v>
          </cell>
          <cell r="AF121">
            <v>2129.1480000000001</v>
          </cell>
          <cell r="AG121">
            <v>2117.3193999999999</v>
          </cell>
        </row>
        <row r="122">
          <cell r="A122" t="str">
            <v>34400FTHSOL</v>
          </cell>
          <cell r="B122" t="str">
            <v>344.00</v>
          </cell>
          <cell r="C122" t="str">
            <v>Fort Huachuca</v>
          </cell>
          <cell r="D122">
            <v>42408315</v>
          </cell>
          <cell r="E122">
            <v>43059254</v>
          </cell>
          <cell r="F122">
            <v>31638257</v>
          </cell>
          <cell r="G122" t="str">
            <v>VG</v>
          </cell>
          <cell r="H122">
            <v>28</v>
          </cell>
          <cell r="I122" t="str">
            <v>S6</v>
          </cell>
          <cell r="J122">
            <v>27.95</v>
          </cell>
          <cell r="K122">
            <v>21.21</v>
          </cell>
          <cell r="L122">
            <v>-0.5</v>
          </cell>
          <cell r="M122">
            <v>-5</v>
          </cell>
          <cell r="N122">
            <v>0</v>
          </cell>
          <cell r="O122">
            <v>-5</v>
          </cell>
          <cell r="P122">
            <v>-4.9000000000000004</v>
          </cell>
          <cell r="Q122">
            <v>6.8</v>
          </cell>
          <cell r="R122">
            <v>0</v>
          </cell>
          <cell r="S122">
            <v>42408315</v>
          </cell>
          <cell r="T122">
            <v>0</v>
          </cell>
          <cell r="U122">
            <v>0.5</v>
          </cell>
          <cell r="V122">
            <v>0</v>
          </cell>
          <cell r="W122">
            <v>0.5</v>
          </cell>
          <cell r="X122">
            <v>-0.5</v>
          </cell>
          <cell r="Y122">
            <v>0</v>
          </cell>
          <cell r="Z122">
            <v>44561</v>
          </cell>
          <cell r="AA122">
            <v>10808254.73</v>
          </cell>
          <cell r="AB122">
            <v>11900619.952</v>
          </cell>
          <cell r="AC122">
            <v>2120415.7565000001</v>
          </cell>
          <cell r="AD122">
            <v>2120415.7565000001</v>
          </cell>
          <cell r="AE122">
            <v>511261.00929999998</v>
          </cell>
          <cell r="AF122">
            <v>1590311.8125</v>
          </cell>
          <cell r="AG122">
            <v>1539421.8345000001</v>
          </cell>
        </row>
        <row r="123">
          <cell r="A123" t="str">
            <v>34400HDQRFT</v>
          </cell>
          <cell r="B123" t="str">
            <v>344.00</v>
          </cell>
          <cell r="C123" t="str">
            <v>HQ Rooftop</v>
          </cell>
          <cell r="D123">
            <v>303184</v>
          </cell>
          <cell r="E123">
            <v>2897773</v>
          </cell>
          <cell r="F123">
            <v>186160</v>
          </cell>
          <cell r="G123" t="str">
            <v>VG</v>
          </cell>
          <cell r="H123">
            <v>28</v>
          </cell>
          <cell r="I123" t="str">
            <v>S6</v>
          </cell>
          <cell r="J123">
            <v>28</v>
          </cell>
          <cell r="K123">
            <v>18.5</v>
          </cell>
          <cell r="L123">
            <v>0</v>
          </cell>
          <cell r="M123">
            <v>-5</v>
          </cell>
          <cell r="N123">
            <v>0</v>
          </cell>
          <cell r="O123">
            <v>-5</v>
          </cell>
          <cell r="P123">
            <v>-0.5</v>
          </cell>
          <cell r="Q123">
            <v>9.5</v>
          </cell>
          <cell r="R123">
            <v>0</v>
          </cell>
          <cell r="S123">
            <v>303184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44561</v>
          </cell>
          <cell r="AA123">
            <v>119834.92</v>
          </cell>
          <cell r="AB123">
            <v>129307.89109999999</v>
          </cell>
          <cell r="AC123">
            <v>15159.178</v>
          </cell>
          <cell r="AD123">
            <v>15159.178</v>
          </cell>
          <cell r="AE123">
            <v>5143.2928000000002</v>
          </cell>
          <cell r="AF123">
            <v>10884.3056</v>
          </cell>
          <cell r="AG123">
            <v>10217.300800000001</v>
          </cell>
        </row>
        <row r="124">
          <cell r="A124" t="str">
            <v>34400NARSOL</v>
          </cell>
          <cell r="B124" t="str">
            <v>344.00</v>
          </cell>
          <cell r="C124" t="str">
            <v>Naranja Park</v>
          </cell>
          <cell r="D124">
            <v>838136</v>
          </cell>
          <cell r="E124">
            <v>838136</v>
          </cell>
          <cell r="F124">
            <v>793236</v>
          </cell>
          <cell r="G124" t="str">
            <v>VG</v>
          </cell>
          <cell r="H124">
            <v>28</v>
          </cell>
          <cell r="I124" t="str">
            <v>S6</v>
          </cell>
          <cell r="J124">
            <v>28</v>
          </cell>
          <cell r="K124">
            <v>26.5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1.5</v>
          </cell>
          <cell r="R124">
            <v>0</v>
          </cell>
          <cell r="S124">
            <v>838136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44561</v>
          </cell>
          <cell r="AB124">
            <v>49613.430899999999</v>
          </cell>
          <cell r="AC124">
            <v>0</v>
          </cell>
          <cell r="AD124">
            <v>0</v>
          </cell>
          <cell r="AE124">
            <v>0</v>
          </cell>
          <cell r="AF124">
            <v>29921.4552</v>
          </cell>
          <cell r="AG124">
            <v>29753.828000000001</v>
          </cell>
        </row>
        <row r="125">
          <cell r="A125" t="str">
            <v>34400PRFSOL</v>
          </cell>
          <cell r="B125" t="str">
            <v>344.00</v>
          </cell>
          <cell r="C125" t="str">
            <v>Prairie Fire</v>
          </cell>
          <cell r="D125">
            <v>19036520</v>
          </cell>
          <cell r="E125">
            <v>19036520</v>
          </cell>
          <cell r="F125">
            <v>12254760</v>
          </cell>
          <cell r="G125" t="str">
            <v>VG</v>
          </cell>
          <cell r="H125">
            <v>28</v>
          </cell>
          <cell r="I125" t="str">
            <v>S6</v>
          </cell>
          <cell r="J125">
            <v>28</v>
          </cell>
          <cell r="K125">
            <v>18.5</v>
          </cell>
          <cell r="L125">
            <v>0</v>
          </cell>
          <cell r="M125">
            <v>-5</v>
          </cell>
          <cell r="N125">
            <v>0</v>
          </cell>
          <cell r="O125">
            <v>-5</v>
          </cell>
          <cell r="P125">
            <v>-5</v>
          </cell>
          <cell r="Q125">
            <v>9.5</v>
          </cell>
          <cell r="R125">
            <v>0</v>
          </cell>
          <cell r="S125">
            <v>19036520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44561</v>
          </cell>
          <cell r="AA125">
            <v>7524248.0700000003</v>
          </cell>
          <cell r="AB125">
            <v>7493659.7490999997</v>
          </cell>
          <cell r="AC125">
            <v>951826.00749999995</v>
          </cell>
          <cell r="AD125">
            <v>951826.00749999995</v>
          </cell>
          <cell r="AE125">
            <v>322940.98300000001</v>
          </cell>
          <cell r="AF125">
            <v>713869.5</v>
          </cell>
          <cell r="AG125">
            <v>675796.46</v>
          </cell>
        </row>
        <row r="126">
          <cell r="A126" t="str">
            <v>34400RESSOL</v>
          </cell>
          <cell r="B126" t="str">
            <v>344.00</v>
          </cell>
          <cell r="C126" t="str">
            <v>Residential Solar</v>
          </cell>
          <cell r="D126">
            <v>7042325</v>
          </cell>
          <cell r="E126">
            <v>7052554</v>
          </cell>
          <cell r="F126">
            <v>5735320</v>
          </cell>
          <cell r="G126" t="str">
            <v>VG</v>
          </cell>
          <cell r="H126">
            <v>28</v>
          </cell>
          <cell r="I126" t="str">
            <v>S6</v>
          </cell>
          <cell r="J126">
            <v>28</v>
          </cell>
          <cell r="K126">
            <v>22.62</v>
          </cell>
          <cell r="L126">
            <v>-1387.7</v>
          </cell>
          <cell r="M126">
            <v>-5</v>
          </cell>
          <cell r="N126">
            <v>0</v>
          </cell>
          <cell r="O126">
            <v>-5</v>
          </cell>
          <cell r="P126">
            <v>-7</v>
          </cell>
          <cell r="Q126">
            <v>5.4</v>
          </cell>
          <cell r="R126">
            <v>0</v>
          </cell>
          <cell r="S126">
            <v>7042325</v>
          </cell>
          <cell r="T126">
            <v>314.89999999999998</v>
          </cell>
          <cell r="U126">
            <v>1702.6</v>
          </cell>
          <cell r="V126">
            <v>314.89999999999998</v>
          </cell>
          <cell r="W126">
            <v>1702.6</v>
          </cell>
          <cell r="X126">
            <v>-1387.7</v>
          </cell>
          <cell r="Y126">
            <v>0</v>
          </cell>
          <cell r="Z126">
            <v>44561</v>
          </cell>
          <cell r="AA126">
            <v>1816581.29</v>
          </cell>
          <cell r="AB126">
            <v>1444205.0486000001</v>
          </cell>
          <cell r="AC126">
            <v>352116.25949999999</v>
          </cell>
          <cell r="AD126">
            <v>352116.25949999999</v>
          </cell>
          <cell r="AE126">
            <v>67660.775599999994</v>
          </cell>
          <cell r="AF126">
            <v>269016.815</v>
          </cell>
          <cell r="AG126">
            <v>263382.95500000002</v>
          </cell>
        </row>
        <row r="127">
          <cell r="A127" t="str">
            <v>34400SPVS13</v>
          </cell>
          <cell r="B127" t="str">
            <v>344.00</v>
          </cell>
          <cell r="C127" t="str">
            <v>Springerville Sites 1-3 (Legacy)</v>
          </cell>
          <cell r="D127">
            <v>28766605</v>
          </cell>
          <cell r="E127">
            <v>28766605</v>
          </cell>
          <cell r="F127">
            <v>8389061</v>
          </cell>
          <cell r="G127" t="str">
            <v>VG</v>
          </cell>
          <cell r="H127">
            <v>28</v>
          </cell>
          <cell r="I127" t="str">
            <v>S6</v>
          </cell>
          <cell r="J127">
            <v>28</v>
          </cell>
          <cell r="K127">
            <v>9.11</v>
          </cell>
          <cell r="L127">
            <v>0</v>
          </cell>
          <cell r="M127">
            <v>-5</v>
          </cell>
          <cell r="N127">
            <v>0</v>
          </cell>
          <cell r="O127">
            <v>-5</v>
          </cell>
          <cell r="P127">
            <v>-5</v>
          </cell>
          <cell r="Q127">
            <v>18.899999999999999</v>
          </cell>
          <cell r="R127">
            <v>0</v>
          </cell>
          <cell r="S127">
            <v>28766605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44561</v>
          </cell>
          <cell r="AA127">
            <v>21028317.890000001</v>
          </cell>
          <cell r="AB127">
            <v>22516629.054499999</v>
          </cell>
          <cell r="AC127">
            <v>1438330.2256</v>
          </cell>
          <cell r="AD127">
            <v>1438330.2256</v>
          </cell>
          <cell r="AE127">
            <v>970448.71909999999</v>
          </cell>
          <cell r="AF127">
            <v>1078747.6875</v>
          </cell>
          <cell r="AG127">
            <v>842861.52650000004</v>
          </cell>
        </row>
        <row r="128">
          <cell r="A128" t="str">
            <v>34400SPVSL4</v>
          </cell>
          <cell r="B128" t="str">
            <v>344.00</v>
          </cell>
          <cell r="C128" t="str">
            <v>Springerville Unit 4</v>
          </cell>
          <cell r="D128">
            <v>7873874</v>
          </cell>
          <cell r="E128">
            <v>7873874</v>
          </cell>
          <cell r="F128">
            <v>4478266</v>
          </cell>
          <cell r="G128" t="str">
            <v>VG</v>
          </cell>
          <cell r="H128">
            <v>28</v>
          </cell>
          <cell r="I128" t="str">
            <v>S6</v>
          </cell>
          <cell r="J128">
            <v>28</v>
          </cell>
          <cell r="K128">
            <v>16.5</v>
          </cell>
          <cell r="L128">
            <v>0</v>
          </cell>
          <cell r="M128">
            <v>-5</v>
          </cell>
          <cell r="N128">
            <v>0</v>
          </cell>
          <cell r="O128">
            <v>-5</v>
          </cell>
          <cell r="P128">
            <v>-5</v>
          </cell>
          <cell r="Q128">
            <v>11.5</v>
          </cell>
          <cell r="R128">
            <v>0</v>
          </cell>
          <cell r="S128">
            <v>7873874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44561</v>
          </cell>
          <cell r="AA128">
            <v>3802294.32</v>
          </cell>
          <cell r="AB128">
            <v>3752054.2267999998</v>
          </cell>
          <cell r="AC128">
            <v>393693.69549999997</v>
          </cell>
          <cell r="AD128">
            <v>393693.69549999997</v>
          </cell>
          <cell r="AE128">
            <v>161695.64170000001</v>
          </cell>
          <cell r="AF128">
            <v>295270.27500000002</v>
          </cell>
          <cell r="AG128">
            <v>274010.81520000001</v>
          </cell>
        </row>
        <row r="129">
          <cell r="A129" t="str">
            <v>34400SUNSOL</v>
          </cell>
          <cell r="B129" t="str">
            <v>344.00</v>
          </cell>
          <cell r="C129" t="str">
            <v>Sundt Solar - Irvington Campus</v>
          </cell>
          <cell r="D129">
            <v>14122587</v>
          </cell>
          <cell r="E129">
            <v>14122587</v>
          </cell>
          <cell r="F129">
            <v>11956535</v>
          </cell>
          <cell r="G129" t="str">
            <v>VG</v>
          </cell>
          <cell r="H129">
            <v>28</v>
          </cell>
          <cell r="I129" t="str">
            <v>S6</v>
          </cell>
          <cell r="J129">
            <v>28</v>
          </cell>
          <cell r="K129">
            <v>23.91</v>
          </cell>
          <cell r="L129">
            <v>0</v>
          </cell>
          <cell r="M129">
            <v>-5</v>
          </cell>
          <cell r="N129">
            <v>0</v>
          </cell>
          <cell r="O129">
            <v>-5</v>
          </cell>
          <cell r="P129">
            <v>-5</v>
          </cell>
          <cell r="Q129">
            <v>4.0999999999999996</v>
          </cell>
          <cell r="R129">
            <v>0</v>
          </cell>
          <cell r="S129">
            <v>14122587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44561</v>
          </cell>
          <cell r="AA129">
            <v>4625285.63</v>
          </cell>
          <cell r="AB129">
            <v>2393428.0257999999</v>
          </cell>
          <cell r="AC129">
            <v>706129.35499999998</v>
          </cell>
          <cell r="AD129">
            <v>706129.35499999998</v>
          </cell>
          <cell r="AE129">
            <v>103264.04399999999</v>
          </cell>
          <cell r="AF129">
            <v>529597.01249999995</v>
          </cell>
          <cell r="AG129">
            <v>519711.20159999997</v>
          </cell>
        </row>
        <row r="130">
          <cell r="A130" t="str">
            <v>34400TUCSOL</v>
          </cell>
          <cell r="B130" t="str">
            <v>344.00</v>
          </cell>
          <cell r="C130" t="str">
            <v>Tucson</v>
          </cell>
          <cell r="D130">
            <v>280203</v>
          </cell>
          <cell r="E130">
            <v>280203</v>
          </cell>
          <cell r="F130">
            <v>106092</v>
          </cell>
          <cell r="G130" t="str">
            <v>VG</v>
          </cell>
          <cell r="H130">
            <v>28</v>
          </cell>
          <cell r="I130" t="str">
            <v>S6</v>
          </cell>
          <cell r="J130">
            <v>28</v>
          </cell>
          <cell r="K130">
            <v>11.43</v>
          </cell>
          <cell r="L130">
            <v>0</v>
          </cell>
          <cell r="M130">
            <v>-5</v>
          </cell>
          <cell r="N130">
            <v>0</v>
          </cell>
          <cell r="O130">
            <v>-5</v>
          </cell>
          <cell r="P130">
            <v>-5</v>
          </cell>
          <cell r="Q130">
            <v>16.600000000000001</v>
          </cell>
          <cell r="R130">
            <v>0</v>
          </cell>
          <cell r="S130">
            <v>280203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44561</v>
          </cell>
          <cell r="AA130">
            <v>192063.51</v>
          </cell>
          <cell r="AB130">
            <v>192388.05069999999</v>
          </cell>
          <cell r="AC130">
            <v>14010.163500000001</v>
          </cell>
          <cell r="AD130">
            <v>14010.163500000001</v>
          </cell>
          <cell r="AE130">
            <v>8289.8060000000005</v>
          </cell>
          <cell r="AF130">
            <v>10507.612499999999</v>
          </cell>
          <cell r="AG130">
            <v>8910.4554000000007</v>
          </cell>
        </row>
        <row r="131">
          <cell r="A131" t="str">
            <v>34400UATSL1</v>
          </cell>
          <cell r="B131" t="str">
            <v>344.00</v>
          </cell>
          <cell r="C131" t="str">
            <v>U of A Tech Park Site 1</v>
          </cell>
          <cell r="D131">
            <v>7723832</v>
          </cell>
          <cell r="E131">
            <v>7723832</v>
          </cell>
          <cell r="F131">
            <v>4392929</v>
          </cell>
          <cell r="G131" t="str">
            <v>VG</v>
          </cell>
          <cell r="H131">
            <v>28</v>
          </cell>
          <cell r="I131" t="str">
            <v>S6</v>
          </cell>
          <cell r="J131">
            <v>28</v>
          </cell>
          <cell r="K131">
            <v>16.5</v>
          </cell>
          <cell r="L131">
            <v>0</v>
          </cell>
          <cell r="M131">
            <v>-5</v>
          </cell>
          <cell r="N131">
            <v>0</v>
          </cell>
          <cell r="O131">
            <v>-5</v>
          </cell>
          <cell r="P131">
            <v>-5</v>
          </cell>
          <cell r="Q131">
            <v>11.5</v>
          </cell>
          <cell r="R131">
            <v>0</v>
          </cell>
          <cell r="S131">
            <v>7723832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44561</v>
          </cell>
          <cell r="AA131">
            <v>3729839.3</v>
          </cell>
          <cell r="AB131">
            <v>3680556.2932000002</v>
          </cell>
          <cell r="AC131">
            <v>386191.57549999998</v>
          </cell>
          <cell r="AD131">
            <v>386191.57549999998</v>
          </cell>
          <cell r="AE131">
            <v>158621.86809999999</v>
          </cell>
          <cell r="AF131">
            <v>289643.7</v>
          </cell>
          <cell r="AG131">
            <v>268789.35359999997</v>
          </cell>
        </row>
        <row r="132">
          <cell r="A132" t="str">
            <v>34400UATSL2</v>
          </cell>
          <cell r="B132" t="str">
            <v>344.00</v>
          </cell>
          <cell r="C132" t="str">
            <v>U of A Tech Park Site 2</v>
          </cell>
          <cell r="D132">
            <v>19191952</v>
          </cell>
          <cell r="E132">
            <v>19191952</v>
          </cell>
          <cell r="F132">
            <v>11635121</v>
          </cell>
          <cell r="G132" t="str">
            <v>VG</v>
          </cell>
          <cell r="H132">
            <v>28</v>
          </cell>
          <cell r="I132" t="str">
            <v>S6</v>
          </cell>
          <cell r="J132">
            <v>28</v>
          </cell>
          <cell r="K132">
            <v>17.5</v>
          </cell>
          <cell r="L132">
            <v>0</v>
          </cell>
          <cell r="M132">
            <v>-5</v>
          </cell>
          <cell r="N132">
            <v>0</v>
          </cell>
          <cell r="O132">
            <v>-5</v>
          </cell>
          <cell r="P132">
            <v>-5</v>
          </cell>
          <cell r="Q132">
            <v>10.5</v>
          </cell>
          <cell r="R132">
            <v>0</v>
          </cell>
          <cell r="S132">
            <v>19191952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44561</v>
          </cell>
          <cell r="AA132">
            <v>8429617.5899999999</v>
          </cell>
          <cell r="AB132">
            <v>8350091.8576999996</v>
          </cell>
          <cell r="AC132">
            <v>959597.62199999997</v>
          </cell>
          <cell r="AD132">
            <v>959597.62199999997</v>
          </cell>
          <cell r="AE132">
            <v>359849.1654</v>
          </cell>
          <cell r="AF132">
            <v>719698.2</v>
          </cell>
          <cell r="AG132">
            <v>673637.51520000002</v>
          </cell>
        </row>
        <row r="133">
          <cell r="A133" t="str">
            <v>34400UAZSOL</v>
          </cell>
          <cell r="B133" t="str">
            <v>344.00</v>
          </cell>
          <cell r="C133" t="str">
            <v>University of Arizona Solar</v>
          </cell>
          <cell r="D133">
            <v>350136</v>
          </cell>
          <cell r="E133">
            <v>350136</v>
          </cell>
          <cell r="F133">
            <v>343884</v>
          </cell>
          <cell r="G133" t="str">
            <v>VG</v>
          </cell>
          <cell r="H133">
            <v>28</v>
          </cell>
          <cell r="I133" t="str">
            <v>S6</v>
          </cell>
          <cell r="J133">
            <v>28</v>
          </cell>
          <cell r="K133">
            <v>27.5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0.5</v>
          </cell>
          <cell r="R133">
            <v>0</v>
          </cell>
          <cell r="S133">
            <v>350136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44561</v>
          </cell>
          <cell r="AA133">
            <v>5584.65</v>
          </cell>
          <cell r="AB133">
            <v>6908.7627000000002</v>
          </cell>
          <cell r="AC133">
            <v>0</v>
          </cell>
          <cell r="AD133">
            <v>0</v>
          </cell>
          <cell r="AE133">
            <v>0</v>
          </cell>
          <cell r="AF133">
            <v>12499.8552</v>
          </cell>
          <cell r="AG133">
            <v>12464.8416</v>
          </cell>
        </row>
        <row r="134">
          <cell r="A134" t="str">
            <v>34400WHTSOL</v>
          </cell>
          <cell r="B134" t="str">
            <v>344.00</v>
          </cell>
          <cell r="C134" t="str">
            <v>White Mountain</v>
          </cell>
          <cell r="D134">
            <v>47033274</v>
          </cell>
          <cell r="E134">
            <v>47033274</v>
          </cell>
          <cell r="F134">
            <v>33805166</v>
          </cell>
          <cell r="G134" t="str">
            <v>VG</v>
          </cell>
          <cell r="H134">
            <v>28</v>
          </cell>
          <cell r="I134" t="str">
            <v>S6</v>
          </cell>
          <cell r="J134">
            <v>28</v>
          </cell>
          <cell r="K134">
            <v>20.5</v>
          </cell>
          <cell r="L134">
            <v>0</v>
          </cell>
          <cell r="M134">
            <v>-5</v>
          </cell>
          <cell r="N134">
            <v>0</v>
          </cell>
          <cell r="O134">
            <v>-5</v>
          </cell>
          <cell r="P134">
            <v>-5</v>
          </cell>
          <cell r="Q134">
            <v>7.5</v>
          </cell>
          <cell r="R134">
            <v>0</v>
          </cell>
          <cell r="S134">
            <v>47033274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44561</v>
          </cell>
          <cell r="AA134">
            <v>14444238.640000001</v>
          </cell>
          <cell r="AB134">
            <v>14616698.196900001</v>
          </cell>
          <cell r="AC134">
            <v>2351663.7119999998</v>
          </cell>
          <cell r="AD134">
            <v>2351663.7119999998</v>
          </cell>
          <cell r="AE134">
            <v>629910.04299999995</v>
          </cell>
          <cell r="AF134">
            <v>1763747.7749999999</v>
          </cell>
          <cell r="AG134">
            <v>1697901.1913999999</v>
          </cell>
        </row>
        <row r="135">
          <cell r="A135" t="str">
            <v>360RW</v>
          </cell>
          <cell r="B135" t="str">
            <v>360.RW</v>
          </cell>
          <cell r="C135" t="str">
            <v>Land Rights</v>
          </cell>
          <cell r="D135">
            <v>8546787</v>
          </cell>
          <cell r="E135">
            <v>9000108</v>
          </cell>
          <cell r="F135">
            <v>4578127</v>
          </cell>
          <cell r="G135" t="str">
            <v>VG</v>
          </cell>
          <cell r="H135">
            <v>60</v>
          </cell>
          <cell r="I135" t="str">
            <v>R5</v>
          </cell>
          <cell r="J135">
            <v>60.02</v>
          </cell>
          <cell r="K135">
            <v>32.15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28.1</v>
          </cell>
          <cell r="R135">
            <v>0</v>
          </cell>
          <cell r="S135">
            <v>8546787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44561</v>
          </cell>
          <cell r="AA135">
            <v>4274465.26</v>
          </cell>
          <cell r="AB135">
            <v>3446503.0932999998</v>
          </cell>
          <cell r="AC135">
            <v>1709357.33</v>
          </cell>
          <cell r="AD135">
            <v>1709357.33</v>
          </cell>
          <cell r="AE135">
            <v>793808.3273</v>
          </cell>
          <cell r="AF135">
            <v>142731.34289999999</v>
          </cell>
          <cell r="AG135">
            <v>158970.23819999999</v>
          </cell>
        </row>
        <row r="136">
          <cell r="A136" t="str">
            <v>36100</v>
          </cell>
          <cell r="B136" t="str">
            <v>361.00</v>
          </cell>
          <cell r="C136" t="str">
            <v>Structures and Improvements</v>
          </cell>
          <cell r="D136">
            <v>27346136</v>
          </cell>
          <cell r="E136">
            <v>28410067</v>
          </cell>
          <cell r="F136">
            <v>24902245</v>
          </cell>
          <cell r="G136" t="str">
            <v>VG</v>
          </cell>
          <cell r="H136">
            <v>60</v>
          </cell>
          <cell r="I136" t="str">
            <v>R1</v>
          </cell>
          <cell r="J136">
            <v>60.2</v>
          </cell>
          <cell r="K136">
            <v>54.82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7.6</v>
          </cell>
          <cell r="R136">
            <v>0</v>
          </cell>
          <cell r="S136">
            <v>27346136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44561</v>
          </cell>
          <cell r="AA136">
            <v>2728434.99</v>
          </cell>
          <cell r="AB136">
            <v>2122347.8612000002</v>
          </cell>
          <cell r="AC136">
            <v>5469227.1979999999</v>
          </cell>
          <cell r="AD136">
            <v>5469227.1979999999</v>
          </cell>
          <cell r="AE136">
            <v>489247.07789999997</v>
          </cell>
          <cell r="AF136">
            <v>453945.85759999999</v>
          </cell>
          <cell r="AG136">
            <v>459415.08480000001</v>
          </cell>
        </row>
        <row r="137">
          <cell r="A137" t="str">
            <v>36200</v>
          </cell>
          <cell r="B137" t="str">
            <v>362.00</v>
          </cell>
          <cell r="C137" t="str">
            <v>Station Equipment</v>
          </cell>
          <cell r="D137">
            <v>326388681</v>
          </cell>
          <cell r="E137">
            <v>368322675</v>
          </cell>
          <cell r="F137">
            <v>268662683</v>
          </cell>
          <cell r="G137" t="str">
            <v>VG</v>
          </cell>
          <cell r="H137">
            <v>50</v>
          </cell>
          <cell r="I137" t="str">
            <v>R0.5</v>
          </cell>
          <cell r="J137">
            <v>51</v>
          </cell>
          <cell r="K137">
            <v>41.98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14</v>
          </cell>
          <cell r="R137">
            <v>0</v>
          </cell>
          <cell r="S137">
            <v>326388681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44561</v>
          </cell>
          <cell r="AA137">
            <v>55457399.68</v>
          </cell>
          <cell r="AB137">
            <v>50130988.111299999</v>
          </cell>
          <cell r="AC137">
            <v>65277736.113200001</v>
          </cell>
          <cell r="AD137">
            <v>65277736.113200001</v>
          </cell>
          <cell r="AE137">
            <v>11545425.1537</v>
          </cell>
          <cell r="AF137">
            <v>6397218.1475999998</v>
          </cell>
          <cell r="AG137">
            <v>6593051.3562000003</v>
          </cell>
        </row>
        <row r="138">
          <cell r="A138" t="str">
            <v>36400</v>
          </cell>
          <cell r="B138" t="str">
            <v>364.00</v>
          </cell>
          <cell r="C138" t="str">
            <v>Poles, Towers and Fixtures</v>
          </cell>
          <cell r="D138">
            <v>312758905</v>
          </cell>
          <cell r="E138">
            <v>334520477</v>
          </cell>
          <cell r="F138">
            <v>234710878</v>
          </cell>
          <cell r="G138" t="str">
            <v>VG</v>
          </cell>
          <cell r="H138">
            <v>55</v>
          </cell>
          <cell r="I138" t="str">
            <v>R2.5</v>
          </cell>
          <cell r="J138">
            <v>55.18</v>
          </cell>
          <cell r="K138">
            <v>41.41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15.9</v>
          </cell>
          <cell r="R138">
            <v>0</v>
          </cell>
          <cell r="S138">
            <v>312758905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44561</v>
          </cell>
          <cell r="AA138">
            <v>83885643.180000007</v>
          </cell>
          <cell r="AB138">
            <v>67779247.406499997</v>
          </cell>
          <cell r="AC138">
            <v>62551780.964599997</v>
          </cell>
          <cell r="AD138">
            <v>62551780.964599997</v>
          </cell>
          <cell r="AE138">
            <v>15603629.457900001</v>
          </cell>
          <cell r="AF138">
            <v>5660936.1804999998</v>
          </cell>
          <cell r="AG138">
            <v>5911143.3044999996</v>
          </cell>
        </row>
        <row r="139">
          <cell r="A139" t="str">
            <v>36500</v>
          </cell>
          <cell r="B139" t="str">
            <v>365.00</v>
          </cell>
          <cell r="C139" t="str">
            <v>Overhead Conductors and Devices</v>
          </cell>
          <cell r="D139">
            <v>241765930</v>
          </cell>
          <cell r="E139">
            <v>255737607</v>
          </cell>
          <cell r="F139">
            <v>168679046</v>
          </cell>
          <cell r="G139" t="str">
            <v>VG</v>
          </cell>
          <cell r="H139">
            <v>55</v>
          </cell>
          <cell r="I139" t="str">
            <v>R4</v>
          </cell>
          <cell r="J139">
            <v>54.68</v>
          </cell>
          <cell r="K139">
            <v>38.15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17.5</v>
          </cell>
          <cell r="R139">
            <v>0</v>
          </cell>
          <cell r="S139">
            <v>241765930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44561</v>
          </cell>
          <cell r="AA139">
            <v>93005999.129999995</v>
          </cell>
          <cell r="AB139">
            <v>63470842.244199999</v>
          </cell>
          <cell r="AC139">
            <v>48353186.002599999</v>
          </cell>
          <cell r="AD139">
            <v>48353186.002599999</v>
          </cell>
          <cell r="AE139">
            <v>14619812.3445</v>
          </cell>
          <cell r="AF139">
            <v>4424316.5190000003</v>
          </cell>
          <cell r="AG139">
            <v>4666082.449</v>
          </cell>
        </row>
        <row r="140">
          <cell r="A140" t="str">
            <v>36600</v>
          </cell>
          <cell r="B140" t="str">
            <v>366.00</v>
          </cell>
          <cell r="C140" t="str">
            <v>Underground Conduit</v>
          </cell>
          <cell r="D140">
            <v>91420925</v>
          </cell>
          <cell r="E140">
            <v>94849609</v>
          </cell>
          <cell r="F140">
            <v>63459524</v>
          </cell>
          <cell r="G140" t="str">
            <v>VG</v>
          </cell>
          <cell r="H140">
            <v>57</v>
          </cell>
          <cell r="I140" t="str">
            <v>R4</v>
          </cell>
          <cell r="J140">
            <v>56.89</v>
          </cell>
          <cell r="K140">
            <v>39.49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18.2</v>
          </cell>
          <cell r="R140">
            <v>0</v>
          </cell>
          <cell r="S140">
            <v>91420925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44561</v>
          </cell>
          <cell r="AA140">
            <v>27940540.199999999</v>
          </cell>
          <cell r="AB140">
            <v>24282519.151099999</v>
          </cell>
          <cell r="AC140">
            <v>18284184.9494</v>
          </cell>
          <cell r="AD140">
            <v>18284184.9494</v>
          </cell>
          <cell r="AE140">
            <v>5592657.5022999998</v>
          </cell>
          <cell r="AF140">
            <v>1609008.28</v>
          </cell>
          <cell r="AG140">
            <v>1700429.2050000001</v>
          </cell>
        </row>
        <row r="141">
          <cell r="A141" t="str">
            <v>36700</v>
          </cell>
          <cell r="B141" t="str">
            <v>367.00</v>
          </cell>
          <cell r="C141" t="str">
            <v>Underground Conductors and Devices</v>
          </cell>
          <cell r="D141">
            <v>382730024</v>
          </cell>
          <cell r="E141">
            <v>396503620</v>
          </cell>
          <cell r="F141">
            <v>250960449</v>
          </cell>
          <cell r="G141" t="str">
            <v>VG</v>
          </cell>
          <cell r="H141">
            <v>50</v>
          </cell>
          <cell r="I141" t="str">
            <v>R4</v>
          </cell>
          <cell r="J141">
            <v>49.9</v>
          </cell>
          <cell r="K141">
            <v>32.72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</v>
          </cell>
          <cell r="R141">
            <v>0</v>
          </cell>
          <cell r="S141">
            <v>382730024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44561</v>
          </cell>
          <cell r="AA141">
            <v>144085567.63999999</v>
          </cell>
          <cell r="AB141">
            <v>114432651.4252</v>
          </cell>
          <cell r="AC141">
            <v>76546004.743300006</v>
          </cell>
          <cell r="AD141">
            <v>76546004.743300006</v>
          </cell>
          <cell r="AE141">
            <v>26354393.2777</v>
          </cell>
          <cell r="AF141">
            <v>7654600.4800000004</v>
          </cell>
          <cell r="AG141">
            <v>8190422.5136000002</v>
          </cell>
        </row>
        <row r="142">
          <cell r="A142" t="str">
            <v>368OH</v>
          </cell>
          <cell r="B142" t="str">
            <v>368.OH</v>
          </cell>
          <cell r="C142" t="str">
            <v>Line Transformers - Overhead</v>
          </cell>
          <cell r="D142">
            <v>129105190</v>
          </cell>
          <cell r="E142">
            <v>155133726</v>
          </cell>
          <cell r="F142">
            <v>93587379</v>
          </cell>
          <cell r="G142" t="str">
            <v>VG</v>
          </cell>
          <cell r="H142">
            <v>53</v>
          </cell>
          <cell r="I142" t="str">
            <v>S0</v>
          </cell>
          <cell r="J142">
            <v>53.47</v>
          </cell>
          <cell r="K142">
            <v>38.76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21.1</v>
          </cell>
          <cell r="R142">
            <v>0</v>
          </cell>
          <cell r="S142">
            <v>129105190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44561</v>
          </cell>
          <cell r="AA142">
            <v>40209670.270000003</v>
          </cell>
          <cell r="AB142">
            <v>30844732.203600001</v>
          </cell>
          <cell r="AC142">
            <v>25821038.086100001</v>
          </cell>
          <cell r="AD142">
            <v>25821038.086100001</v>
          </cell>
          <cell r="AE142">
            <v>7103920.2484999998</v>
          </cell>
          <cell r="AF142">
            <v>2414267.0529999998</v>
          </cell>
          <cell r="AG142">
            <v>2530461.7239999999</v>
          </cell>
        </row>
        <row r="143">
          <cell r="A143" t="str">
            <v>368UG</v>
          </cell>
          <cell r="B143" t="str">
            <v>368.UG</v>
          </cell>
          <cell r="C143" t="str">
            <v>Line Transformers - Underground</v>
          </cell>
          <cell r="D143">
            <v>210139411</v>
          </cell>
          <cell r="E143">
            <v>225634679</v>
          </cell>
          <cell r="F143">
            <v>150867366</v>
          </cell>
          <cell r="G143" t="str">
            <v>VG</v>
          </cell>
          <cell r="H143">
            <v>55</v>
          </cell>
          <cell r="I143" t="str">
            <v>R2</v>
          </cell>
          <cell r="J143">
            <v>55.13</v>
          </cell>
          <cell r="K143">
            <v>39.58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18.600000000000001</v>
          </cell>
          <cell r="R143">
            <v>0</v>
          </cell>
          <cell r="S143">
            <v>210139411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44561</v>
          </cell>
          <cell r="AA143">
            <v>71516660.069999993</v>
          </cell>
          <cell r="AB143">
            <v>51473621.620999999</v>
          </cell>
          <cell r="AC143">
            <v>42027882.127599999</v>
          </cell>
          <cell r="AD143">
            <v>42027882.127599999</v>
          </cell>
          <cell r="AE143">
            <v>11858607.3539</v>
          </cell>
          <cell r="AF143">
            <v>3803523.3391</v>
          </cell>
          <cell r="AG143">
            <v>4013662.7500999998</v>
          </cell>
        </row>
        <row r="144">
          <cell r="A144" t="str">
            <v>369OH</v>
          </cell>
          <cell r="B144" t="str">
            <v>369.OH</v>
          </cell>
          <cell r="C144" t="str">
            <v>Services - Overhead</v>
          </cell>
          <cell r="D144">
            <v>30460637</v>
          </cell>
          <cell r="E144">
            <v>33211617</v>
          </cell>
          <cell r="F144">
            <v>21771584</v>
          </cell>
          <cell r="G144" t="str">
            <v>VG</v>
          </cell>
          <cell r="H144">
            <v>50</v>
          </cell>
          <cell r="I144" t="str">
            <v>S3</v>
          </cell>
          <cell r="J144">
            <v>49.78</v>
          </cell>
          <cell r="K144">
            <v>35.58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15.5</v>
          </cell>
          <cell r="R144">
            <v>0</v>
          </cell>
          <cell r="S144">
            <v>30460637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44561</v>
          </cell>
          <cell r="AA144">
            <v>10051526.869999999</v>
          </cell>
          <cell r="AB144">
            <v>7545834.0093</v>
          </cell>
          <cell r="AC144">
            <v>6092127.3816</v>
          </cell>
          <cell r="AD144">
            <v>6092127.3816</v>
          </cell>
          <cell r="AE144">
            <v>1737763.5348</v>
          </cell>
          <cell r="AF144">
            <v>612258.80370000005</v>
          </cell>
          <cell r="AG144">
            <v>642719.44070000004</v>
          </cell>
        </row>
        <row r="145">
          <cell r="A145" t="str">
            <v>369UG</v>
          </cell>
          <cell r="B145" t="str">
            <v>369.UG</v>
          </cell>
          <cell r="C145" t="str">
            <v>Services - Underground</v>
          </cell>
          <cell r="D145">
            <v>156163877</v>
          </cell>
          <cell r="E145">
            <v>156526279</v>
          </cell>
          <cell r="F145">
            <v>115200891</v>
          </cell>
          <cell r="G145" t="str">
            <v>VG</v>
          </cell>
          <cell r="H145">
            <v>65</v>
          </cell>
          <cell r="I145" t="str">
            <v>S4</v>
          </cell>
          <cell r="J145">
            <v>65</v>
          </cell>
          <cell r="K145">
            <v>47.95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17.100000000000001</v>
          </cell>
          <cell r="R145">
            <v>0</v>
          </cell>
          <cell r="S145">
            <v>156163877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44561</v>
          </cell>
          <cell r="AA145">
            <v>44907307.850000001</v>
          </cell>
          <cell r="AB145">
            <v>35573485.812399998</v>
          </cell>
          <cell r="AC145">
            <v>31232775.4976</v>
          </cell>
          <cell r="AD145">
            <v>31232775.4976</v>
          </cell>
          <cell r="AE145">
            <v>8191440.1076999996</v>
          </cell>
          <cell r="AF145">
            <v>2404923.7058000001</v>
          </cell>
          <cell r="AG145">
            <v>2514238.4197</v>
          </cell>
        </row>
        <row r="146">
          <cell r="A146" t="str">
            <v>37000</v>
          </cell>
          <cell r="B146" t="str">
            <v>370.00</v>
          </cell>
          <cell r="C146" t="str">
            <v>Meters</v>
          </cell>
          <cell r="D146">
            <v>85040545</v>
          </cell>
          <cell r="E146">
            <v>165512204</v>
          </cell>
          <cell r="F146">
            <v>76403615</v>
          </cell>
          <cell r="G146" t="str">
            <v>VG</v>
          </cell>
          <cell r="H146">
            <v>14</v>
          </cell>
          <cell r="I146" t="str">
            <v>O2</v>
          </cell>
          <cell r="J146">
            <v>14.08</v>
          </cell>
          <cell r="K146">
            <v>12.65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3.3</v>
          </cell>
          <cell r="R146">
            <v>0</v>
          </cell>
          <cell r="S146">
            <v>85040545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44561</v>
          </cell>
          <cell r="AA146">
            <v>-5356551.9800000004</v>
          </cell>
          <cell r="AB146">
            <v>7500569.3638000004</v>
          </cell>
          <cell r="AC146">
            <v>17008108.960000001</v>
          </cell>
          <cell r="AD146">
            <v>17008108.960000001</v>
          </cell>
          <cell r="AE146">
            <v>1736385.1347000001</v>
          </cell>
          <cell r="AF146">
            <v>6037878.6950000003</v>
          </cell>
          <cell r="AG146">
            <v>6131423.2944999998</v>
          </cell>
        </row>
        <row r="147">
          <cell r="A147" t="str">
            <v>37300</v>
          </cell>
          <cell r="B147" t="str">
            <v>373.00</v>
          </cell>
          <cell r="C147" t="str">
            <v>Street Lighting and Signal Systems</v>
          </cell>
          <cell r="D147">
            <v>19204907</v>
          </cell>
          <cell r="E147">
            <v>21022386</v>
          </cell>
          <cell r="F147">
            <v>13792065</v>
          </cell>
          <cell r="G147" t="str">
            <v>VG</v>
          </cell>
          <cell r="H147">
            <v>48</v>
          </cell>
          <cell r="I147" t="str">
            <v>R3</v>
          </cell>
          <cell r="J147">
            <v>47.65</v>
          </cell>
          <cell r="K147">
            <v>34.22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15.2</v>
          </cell>
          <cell r="R147">
            <v>0</v>
          </cell>
          <cell r="S147">
            <v>19204907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44561</v>
          </cell>
          <cell r="AA147">
            <v>5231205.03</v>
          </cell>
          <cell r="AB147">
            <v>4700673.9698000001</v>
          </cell>
          <cell r="AC147">
            <v>3840981.4160000002</v>
          </cell>
          <cell r="AD147">
            <v>3840981.4160000002</v>
          </cell>
          <cell r="AE147">
            <v>1082066.9942000001</v>
          </cell>
          <cell r="AF147">
            <v>403303.04700000002</v>
          </cell>
          <cell r="AG147">
            <v>424428.44469999999</v>
          </cell>
        </row>
        <row r="148">
          <cell r="A148" t="str">
            <v>39000</v>
          </cell>
          <cell r="B148" t="str">
            <v>390.00</v>
          </cell>
          <cell r="C148" t="str">
            <v>Structures and Improvements</v>
          </cell>
          <cell r="D148">
            <v>270820943</v>
          </cell>
          <cell r="E148">
            <v>294624305</v>
          </cell>
          <cell r="F148">
            <v>221760870</v>
          </cell>
          <cell r="G148" t="str">
            <v>VG</v>
          </cell>
          <cell r="H148">
            <v>40</v>
          </cell>
          <cell r="I148" t="str">
            <v>R3</v>
          </cell>
          <cell r="J148">
            <v>39.89</v>
          </cell>
          <cell r="K148">
            <v>33.200000000000003</v>
          </cell>
          <cell r="L148">
            <v>-15.4</v>
          </cell>
          <cell r="M148">
            <v>-10</v>
          </cell>
          <cell r="N148">
            <v>0</v>
          </cell>
          <cell r="O148">
            <v>-10</v>
          </cell>
          <cell r="P148">
            <v>-10.4</v>
          </cell>
          <cell r="Q148">
            <v>7.3</v>
          </cell>
          <cell r="R148">
            <v>0</v>
          </cell>
          <cell r="S148">
            <v>270820943</v>
          </cell>
          <cell r="T148">
            <v>0.1</v>
          </cell>
          <cell r="U148">
            <v>15.5</v>
          </cell>
          <cell r="V148">
            <v>0</v>
          </cell>
          <cell r="W148">
            <v>12.2</v>
          </cell>
          <cell r="X148">
            <v>-12.2</v>
          </cell>
          <cell r="Y148">
            <v>0</v>
          </cell>
          <cell r="Z148">
            <v>44561</v>
          </cell>
          <cell r="AA148">
            <v>43310428.049999997</v>
          </cell>
          <cell r="AB148">
            <v>44621196.000500001</v>
          </cell>
          <cell r="AC148">
            <v>27082094.312899999</v>
          </cell>
          <cell r="AD148">
            <v>27082094.312899999</v>
          </cell>
          <cell r="AE148">
            <v>4542288.4786999999</v>
          </cell>
          <cell r="AF148">
            <v>7501740.1211000001</v>
          </cell>
          <cell r="AG148">
            <v>7637150.5926000001</v>
          </cell>
        </row>
        <row r="149">
          <cell r="A149" t="str">
            <v>392C0</v>
          </cell>
          <cell r="B149" t="str">
            <v>392.C0</v>
          </cell>
          <cell r="C149" t="str">
            <v>Transportation Equipment - Class 0</v>
          </cell>
          <cell r="D149">
            <v>604906</v>
          </cell>
          <cell r="E149">
            <v>2943310</v>
          </cell>
          <cell r="F149">
            <v>371386</v>
          </cell>
          <cell r="G149" t="str">
            <v>VG</v>
          </cell>
          <cell r="H149">
            <v>18</v>
          </cell>
          <cell r="I149" t="str">
            <v>O2</v>
          </cell>
          <cell r="J149">
            <v>21.71</v>
          </cell>
          <cell r="K149">
            <v>11.85</v>
          </cell>
          <cell r="L149">
            <v>15</v>
          </cell>
          <cell r="M149">
            <v>15</v>
          </cell>
          <cell r="N149">
            <v>0</v>
          </cell>
          <cell r="O149">
            <v>15</v>
          </cell>
          <cell r="P149">
            <v>15</v>
          </cell>
          <cell r="Q149">
            <v>23.9</v>
          </cell>
          <cell r="R149">
            <v>0</v>
          </cell>
          <cell r="S149">
            <v>604906</v>
          </cell>
          <cell r="T149">
            <v>16.100000000000001</v>
          </cell>
          <cell r="U149">
            <v>1.1000000000000001</v>
          </cell>
          <cell r="V149">
            <v>16.100000000000001</v>
          </cell>
          <cell r="W149">
            <v>1.1000000000000001</v>
          </cell>
          <cell r="X149">
            <v>15</v>
          </cell>
          <cell r="Y149">
            <v>0</v>
          </cell>
          <cell r="Z149">
            <v>44561</v>
          </cell>
          <cell r="AA149">
            <v>244414.41</v>
          </cell>
          <cell r="AB149">
            <v>212391.4007</v>
          </cell>
          <cell r="AC149">
            <v>-90735.968999999997</v>
          </cell>
          <cell r="AD149">
            <v>-90735.968999999997</v>
          </cell>
          <cell r="AE149">
            <v>-41212.120600000002</v>
          </cell>
          <cell r="AF149">
            <v>23712.315200000001</v>
          </cell>
          <cell r="AG149">
            <v>25466.542600000001</v>
          </cell>
        </row>
        <row r="150">
          <cell r="A150" t="str">
            <v>392C1</v>
          </cell>
          <cell r="B150" t="str">
            <v>392.C1</v>
          </cell>
          <cell r="C150" t="str">
            <v>Transportation Equipment - Class 1</v>
          </cell>
          <cell r="D150">
            <v>9498493</v>
          </cell>
          <cell r="E150">
            <v>21918402</v>
          </cell>
          <cell r="F150">
            <v>6211954</v>
          </cell>
          <cell r="G150" t="str">
            <v>VG</v>
          </cell>
          <cell r="H150">
            <v>10</v>
          </cell>
          <cell r="I150" t="str">
            <v>L0.5</v>
          </cell>
          <cell r="J150">
            <v>11.07</v>
          </cell>
          <cell r="K150">
            <v>6.29</v>
          </cell>
          <cell r="L150">
            <v>20.2</v>
          </cell>
          <cell r="M150">
            <v>20</v>
          </cell>
          <cell r="N150">
            <v>0</v>
          </cell>
          <cell r="O150">
            <v>20</v>
          </cell>
          <cell r="P150">
            <v>20.100000000000001</v>
          </cell>
          <cell r="Q150">
            <v>8.1999999999999993</v>
          </cell>
          <cell r="R150">
            <v>0</v>
          </cell>
          <cell r="S150">
            <v>9498493</v>
          </cell>
          <cell r="T150">
            <v>22.7</v>
          </cell>
          <cell r="U150">
            <v>2.5</v>
          </cell>
          <cell r="V150">
            <v>22.7</v>
          </cell>
          <cell r="W150">
            <v>2.5</v>
          </cell>
          <cell r="X150">
            <v>20.2</v>
          </cell>
          <cell r="Y150">
            <v>0</v>
          </cell>
          <cell r="Z150">
            <v>44561</v>
          </cell>
          <cell r="AA150">
            <v>5892221.04</v>
          </cell>
          <cell r="AB150">
            <v>2989177.8977999999</v>
          </cell>
          <cell r="AC150">
            <v>-1899698.6780000001</v>
          </cell>
          <cell r="AD150">
            <v>-1899698.6780000001</v>
          </cell>
          <cell r="AE150">
            <v>-819750.29269999999</v>
          </cell>
          <cell r="AF150">
            <v>685791.19460000005</v>
          </cell>
          <cell r="AG150">
            <v>733283.65960000001</v>
          </cell>
        </row>
        <row r="151">
          <cell r="A151" t="str">
            <v>392C2</v>
          </cell>
          <cell r="B151" t="str">
            <v>392.C2</v>
          </cell>
          <cell r="C151" t="str">
            <v>Transportation Equipment - Class 2</v>
          </cell>
          <cell r="D151">
            <v>4518058</v>
          </cell>
          <cell r="E151">
            <v>13553021</v>
          </cell>
          <cell r="F151">
            <v>2488142</v>
          </cell>
          <cell r="G151" t="str">
            <v>VG</v>
          </cell>
          <cell r="H151">
            <v>9</v>
          </cell>
          <cell r="I151" t="str">
            <v>L1.5</v>
          </cell>
          <cell r="J151">
            <v>10.19</v>
          </cell>
          <cell r="K151">
            <v>4.57</v>
          </cell>
          <cell r="L151">
            <v>22.7</v>
          </cell>
          <cell r="M151">
            <v>20</v>
          </cell>
          <cell r="N151">
            <v>0</v>
          </cell>
          <cell r="O151">
            <v>20</v>
          </cell>
          <cell r="P151">
            <v>21.8</v>
          </cell>
          <cell r="Q151">
            <v>8.6999999999999993</v>
          </cell>
          <cell r="R151">
            <v>0</v>
          </cell>
          <cell r="S151">
            <v>4518058</v>
          </cell>
          <cell r="T151">
            <v>25.2</v>
          </cell>
          <cell r="U151">
            <v>2.5</v>
          </cell>
          <cell r="V151">
            <v>25.2</v>
          </cell>
          <cell r="W151">
            <v>2.5</v>
          </cell>
          <cell r="X151">
            <v>22.7</v>
          </cell>
          <cell r="Y151">
            <v>0</v>
          </cell>
          <cell r="Z151">
            <v>44561</v>
          </cell>
          <cell r="AA151">
            <v>2872103.72</v>
          </cell>
          <cell r="AB151">
            <v>1846252.4733</v>
          </cell>
          <cell r="AC151">
            <v>-903611.63</v>
          </cell>
          <cell r="AD151">
            <v>-903611.63</v>
          </cell>
          <cell r="AE151">
            <v>-498274.80009999999</v>
          </cell>
          <cell r="AF151">
            <v>346535.04859999998</v>
          </cell>
          <cell r="AG151">
            <v>386745.7648</v>
          </cell>
        </row>
        <row r="152">
          <cell r="A152" t="str">
            <v>392C3</v>
          </cell>
          <cell r="B152" t="str">
            <v>392.C3</v>
          </cell>
          <cell r="C152" t="str">
            <v>Transportation Equipment - Class 3</v>
          </cell>
          <cell r="D152">
            <v>2360448</v>
          </cell>
          <cell r="E152">
            <v>10907169</v>
          </cell>
          <cell r="F152">
            <v>1360788</v>
          </cell>
          <cell r="G152" t="str">
            <v>VG</v>
          </cell>
          <cell r="H152">
            <v>9</v>
          </cell>
          <cell r="I152" t="str">
            <v>L2</v>
          </cell>
          <cell r="J152">
            <v>9.89</v>
          </cell>
          <cell r="K152">
            <v>4.58</v>
          </cell>
          <cell r="L152">
            <v>18.399999999999999</v>
          </cell>
          <cell r="M152">
            <v>20</v>
          </cell>
          <cell r="N152">
            <v>0</v>
          </cell>
          <cell r="O152">
            <v>20</v>
          </cell>
          <cell r="P152">
            <v>18.7</v>
          </cell>
          <cell r="Q152">
            <v>8.6999999999999993</v>
          </cell>
          <cell r="R152">
            <v>0</v>
          </cell>
          <cell r="S152">
            <v>2360448</v>
          </cell>
          <cell r="T152">
            <v>21.6</v>
          </cell>
          <cell r="U152">
            <v>3.2</v>
          </cell>
          <cell r="V152">
            <v>21.6</v>
          </cell>
          <cell r="W152">
            <v>3.2</v>
          </cell>
          <cell r="X152">
            <v>18.399999999999999</v>
          </cell>
          <cell r="Y152">
            <v>0</v>
          </cell>
          <cell r="Z152">
            <v>44561</v>
          </cell>
          <cell r="AA152">
            <v>1349342.46</v>
          </cell>
          <cell r="AB152">
            <v>909212.79299999995</v>
          </cell>
          <cell r="AC152">
            <v>-472089.54200000002</v>
          </cell>
          <cell r="AD152">
            <v>-472089.54200000002</v>
          </cell>
          <cell r="AE152">
            <v>-253367.5362</v>
          </cell>
          <cell r="AF152">
            <v>194028.82560000001</v>
          </cell>
          <cell r="AG152">
            <v>213856.5888</v>
          </cell>
        </row>
        <row r="153">
          <cell r="A153" t="str">
            <v>392C4</v>
          </cell>
          <cell r="B153" t="str">
            <v>392.C4</v>
          </cell>
          <cell r="C153" t="str">
            <v>Transportation Equipment - Class 4</v>
          </cell>
          <cell r="D153">
            <v>3864280</v>
          </cell>
          <cell r="E153">
            <v>16806201</v>
          </cell>
          <cell r="F153">
            <v>2705831</v>
          </cell>
          <cell r="G153" t="str">
            <v>VG</v>
          </cell>
          <cell r="H153">
            <v>14</v>
          </cell>
          <cell r="I153" t="str">
            <v>L1.5</v>
          </cell>
          <cell r="J153">
            <v>13.97</v>
          </cell>
          <cell r="K153">
            <v>8.67</v>
          </cell>
          <cell r="L153">
            <v>19.2</v>
          </cell>
          <cell r="M153">
            <v>20</v>
          </cell>
          <cell r="N153">
            <v>0</v>
          </cell>
          <cell r="O153">
            <v>20</v>
          </cell>
          <cell r="P153">
            <v>19.399999999999999</v>
          </cell>
          <cell r="Q153">
            <v>9.4</v>
          </cell>
          <cell r="R153">
            <v>0</v>
          </cell>
          <cell r="S153">
            <v>3864280</v>
          </cell>
          <cell r="T153">
            <v>22.1</v>
          </cell>
          <cell r="U153">
            <v>2.9</v>
          </cell>
          <cell r="V153">
            <v>22.1</v>
          </cell>
          <cell r="W153">
            <v>2.9</v>
          </cell>
          <cell r="X153">
            <v>19.2</v>
          </cell>
          <cell r="Y153">
            <v>0</v>
          </cell>
          <cell r="Z153">
            <v>44561</v>
          </cell>
          <cell r="AA153">
            <v>1210789.33</v>
          </cell>
          <cell r="AB153">
            <v>1053634.0562</v>
          </cell>
          <cell r="AC153">
            <v>-772855.96200000006</v>
          </cell>
          <cell r="AD153">
            <v>-772855.96200000006</v>
          </cell>
          <cell r="AE153">
            <v>-292930.25650000002</v>
          </cell>
          <cell r="AF153">
            <v>222968.95600000001</v>
          </cell>
          <cell r="AG153">
            <v>234948.22399999999</v>
          </cell>
        </row>
        <row r="154">
          <cell r="A154" t="str">
            <v>392C5</v>
          </cell>
          <cell r="B154" t="str">
            <v>392.C5</v>
          </cell>
          <cell r="C154" t="str">
            <v>Transportation Equipment - Class 5</v>
          </cell>
          <cell r="D154">
            <v>9006676</v>
          </cell>
          <cell r="E154">
            <v>18269827</v>
          </cell>
          <cell r="F154">
            <v>5651598</v>
          </cell>
          <cell r="G154" t="str">
            <v>VG</v>
          </cell>
          <cell r="H154">
            <v>15</v>
          </cell>
          <cell r="I154" t="str">
            <v>L1.5</v>
          </cell>
          <cell r="J154">
            <v>15.76</v>
          </cell>
          <cell r="K154">
            <v>8.98</v>
          </cell>
          <cell r="L154">
            <v>17.3</v>
          </cell>
          <cell r="M154">
            <v>15</v>
          </cell>
          <cell r="N154">
            <v>0</v>
          </cell>
          <cell r="O154">
            <v>15</v>
          </cell>
          <cell r="P154">
            <v>16.2</v>
          </cell>
          <cell r="Q154">
            <v>10.4</v>
          </cell>
          <cell r="R154">
            <v>0</v>
          </cell>
          <cell r="S154">
            <v>9006676</v>
          </cell>
          <cell r="T154">
            <v>19.5</v>
          </cell>
          <cell r="U154">
            <v>2.2000000000000002</v>
          </cell>
          <cell r="V154">
            <v>19.5</v>
          </cell>
          <cell r="W154">
            <v>2.2000000000000002</v>
          </cell>
          <cell r="X154">
            <v>17.3</v>
          </cell>
          <cell r="Y154">
            <v>0</v>
          </cell>
          <cell r="Z154">
            <v>44561</v>
          </cell>
          <cell r="AA154">
            <v>3195720.3</v>
          </cell>
          <cell r="AB154">
            <v>3051516.1516</v>
          </cell>
          <cell r="AC154">
            <v>-1351001.4210000001</v>
          </cell>
          <cell r="AD154">
            <v>-1351001.4210000001</v>
          </cell>
          <cell r="AE154">
            <v>-581534.03029999998</v>
          </cell>
          <cell r="AF154">
            <v>479155.16320000001</v>
          </cell>
          <cell r="AG154">
            <v>512479.86440000002</v>
          </cell>
        </row>
        <row r="155">
          <cell r="A155" t="str">
            <v>392C6</v>
          </cell>
          <cell r="B155" t="str">
            <v>392.C6</v>
          </cell>
          <cell r="C155" t="str">
            <v>Transportation Equipment - Class 6</v>
          </cell>
          <cell r="D155">
            <v>1426137</v>
          </cell>
          <cell r="E155">
            <v>1573706</v>
          </cell>
          <cell r="F155">
            <v>1219661</v>
          </cell>
          <cell r="G155" t="str">
            <v>VG</v>
          </cell>
          <cell r="H155">
            <v>15</v>
          </cell>
          <cell r="I155" t="str">
            <v>L2</v>
          </cell>
          <cell r="J155">
            <v>15.15</v>
          </cell>
          <cell r="K155">
            <v>12.54</v>
          </cell>
          <cell r="L155">
            <v>13</v>
          </cell>
          <cell r="M155">
            <v>15</v>
          </cell>
          <cell r="N155">
            <v>0</v>
          </cell>
          <cell r="O155">
            <v>15</v>
          </cell>
          <cell r="P155">
            <v>14.8</v>
          </cell>
          <cell r="Q155">
            <v>3</v>
          </cell>
          <cell r="R155">
            <v>0</v>
          </cell>
          <cell r="S155">
            <v>1426137</v>
          </cell>
          <cell r="T155">
            <v>13.6</v>
          </cell>
          <cell r="U155">
            <v>0.6</v>
          </cell>
          <cell r="V155">
            <v>13.6</v>
          </cell>
          <cell r="W155">
            <v>0.6</v>
          </cell>
          <cell r="X155">
            <v>13</v>
          </cell>
          <cell r="Y155">
            <v>0</v>
          </cell>
          <cell r="Z155">
            <v>44561</v>
          </cell>
          <cell r="AA155">
            <v>39574.239999999998</v>
          </cell>
          <cell r="AB155">
            <v>187794.74419999999</v>
          </cell>
          <cell r="AC155">
            <v>-213920.61300000001</v>
          </cell>
          <cell r="AD155">
            <v>-213920.61300000001</v>
          </cell>
          <cell r="AE155">
            <v>-36800.784599999999</v>
          </cell>
          <cell r="AF155">
            <v>80148.899399999995</v>
          </cell>
          <cell r="AG155">
            <v>81717.650099999999</v>
          </cell>
        </row>
        <row r="156">
          <cell r="A156" t="str">
            <v>392C7</v>
          </cell>
          <cell r="B156" t="str">
            <v>392.C7</v>
          </cell>
          <cell r="C156" t="str">
            <v>Transportation Equipment - Class 7</v>
          </cell>
          <cell r="D156">
            <v>2022126</v>
          </cell>
          <cell r="E156">
            <v>2043377</v>
          </cell>
          <cell r="F156">
            <v>1231122</v>
          </cell>
          <cell r="G156" t="str">
            <v>VG</v>
          </cell>
          <cell r="H156">
            <v>14</v>
          </cell>
          <cell r="I156" t="str">
            <v>L1.5</v>
          </cell>
          <cell r="J156">
            <v>15.58</v>
          </cell>
          <cell r="K156">
            <v>8.41</v>
          </cell>
          <cell r="L156">
            <v>10.5</v>
          </cell>
          <cell r="M156">
            <v>15</v>
          </cell>
          <cell r="N156">
            <v>0</v>
          </cell>
          <cell r="O156">
            <v>15</v>
          </cell>
          <cell r="P156">
            <v>15</v>
          </cell>
          <cell r="Q156">
            <v>9.6999999999999993</v>
          </cell>
          <cell r="R156">
            <v>0</v>
          </cell>
          <cell r="S156">
            <v>2022126</v>
          </cell>
          <cell r="T156">
            <v>8.9</v>
          </cell>
          <cell r="U156">
            <v>-1.6</v>
          </cell>
          <cell r="V156">
            <v>8.9</v>
          </cell>
          <cell r="W156">
            <v>-1.6</v>
          </cell>
          <cell r="X156">
            <v>10.5</v>
          </cell>
          <cell r="Y156">
            <v>0</v>
          </cell>
          <cell r="Z156">
            <v>44561</v>
          </cell>
          <cell r="AA156">
            <v>979060.78</v>
          </cell>
          <cell r="AB156">
            <v>719435.495</v>
          </cell>
          <cell r="AC156">
            <v>-303318.87300000002</v>
          </cell>
          <cell r="AD156">
            <v>-303318.87300000002</v>
          </cell>
          <cell r="AE156">
            <v>-139531.8628</v>
          </cell>
          <cell r="AF156">
            <v>110408.0796</v>
          </cell>
          <cell r="AG156">
            <v>118901.0088</v>
          </cell>
        </row>
        <row r="157">
          <cell r="A157" t="str">
            <v>392C8</v>
          </cell>
          <cell r="B157" t="str">
            <v>392.C8</v>
          </cell>
          <cell r="C157" t="str">
            <v>Transportation Equipment - Class 8</v>
          </cell>
          <cell r="D157">
            <v>17366420</v>
          </cell>
          <cell r="E157">
            <v>20268343</v>
          </cell>
          <cell r="F157">
            <v>11625844</v>
          </cell>
          <cell r="G157" t="str">
            <v>VG</v>
          </cell>
          <cell r="H157">
            <v>15</v>
          </cell>
          <cell r="I157" t="str">
            <v>S2</v>
          </cell>
          <cell r="J157">
            <v>15.07</v>
          </cell>
          <cell r="K157">
            <v>9.42</v>
          </cell>
          <cell r="L157">
            <v>28.5</v>
          </cell>
          <cell r="M157">
            <v>15</v>
          </cell>
          <cell r="N157">
            <v>0</v>
          </cell>
          <cell r="O157">
            <v>15</v>
          </cell>
          <cell r="P157">
            <v>16.899999999999999</v>
          </cell>
          <cell r="Q157">
            <v>6.5</v>
          </cell>
          <cell r="R157">
            <v>0</v>
          </cell>
          <cell r="S157">
            <v>17366420</v>
          </cell>
          <cell r="T157">
            <v>29.3</v>
          </cell>
          <cell r="U157">
            <v>0.8</v>
          </cell>
          <cell r="V157">
            <v>29.3</v>
          </cell>
          <cell r="W157">
            <v>0.8</v>
          </cell>
          <cell r="X157">
            <v>28.5</v>
          </cell>
          <cell r="Y157">
            <v>0</v>
          </cell>
          <cell r="Z157">
            <v>44561</v>
          </cell>
          <cell r="AA157">
            <v>6416334.8600000003</v>
          </cell>
          <cell r="AB157">
            <v>5221177.5069000004</v>
          </cell>
          <cell r="AC157">
            <v>-2604962.9849999999</v>
          </cell>
          <cell r="AD157">
            <v>-2604962.9849999999</v>
          </cell>
          <cell r="AE157">
            <v>-976930.08059999999</v>
          </cell>
          <cell r="AF157">
            <v>956889.74199999997</v>
          </cell>
          <cell r="AG157">
            <v>1012462.286</v>
          </cell>
        </row>
        <row r="158">
          <cell r="A158" t="str">
            <v>392C9</v>
          </cell>
          <cell r="B158" t="str">
            <v>392.C9</v>
          </cell>
          <cell r="C158" t="str">
            <v>Transportation Equipment - Class 9</v>
          </cell>
          <cell r="D158">
            <v>4529677</v>
          </cell>
          <cell r="E158">
            <v>5442085</v>
          </cell>
          <cell r="F158">
            <v>2964682</v>
          </cell>
          <cell r="G158" t="str">
            <v>VG</v>
          </cell>
          <cell r="H158">
            <v>25</v>
          </cell>
          <cell r="I158" t="str">
            <v>L2</v>
          </cell>
          <cell r="J158">
            <v>25.84</v>
          </cell>
          <cell r="K158">
            <v>14.81</v>
          </cell>
          <cell r="L158">
            <v>24.4</v>
          </cell>
          <cell r="M158">
            <v>20</v>
          </cell>
          <cell r="N158">
            <v>0</v>
          </cell>
          <cell r="O158">
            <v>20</v>
          </cell>
          <cell r="P158">
            <v>20.7</v>
          </cell>
          <cell r="Q158">
            <v>14.2</v>
          </cell>
          <cell r="R158">
            <v>0</v>
          </cell>
          <cell r="S158">
            <v>4529677</v>
          </cell>
          <cell r="T158">
            <v>24.7</v>
          </cell>
          <cell r="U158">
            <v>0.3</v>
          </cell>
          <cell r="V158">
            <v>24.7</v>
          </cell>
          <cell r="W158">
            <v>0.3</v>
          </cell>
          <cell r="X158">
            <v>24.4</v>
          </cell>
          <cell r="Y158">
            <v>0</v>
          </cell>
          <cell r="Z158">
            <v>44561</v>
          </cell>
          <cell r="AA158">
            <v>1690859.39</v>
          </cell>
          <cell r="AB158">
            <v>1423396.4347000001</v>
          </cell>
          <cell r="AC158">
            <v>-905935.42260000005</v>
          </cell>
          <cell r="AD158">
            <v>-905935.42260000005</v>
          </cell>
          <cell r="AE158">
            <v>-386524.64529999997</v>
          </cell>
          <cell r="AF158">
            <v>139061.0839</v>
          </cell>
          <cell r="AG158">
            <v>148573.4056</v>
          </cell>
        </row>
        <row r="159">
          <cell r="A159" t="str">
            <v>39600</v>
          </cell>
          <cell r="B159" t="str">
            <v>396.00</v>
          </cell>
          <cell r="C159" t="str">
            <v>Power Operated Equipment</v>
          </cell>
          <cell r="D159">
            <v>13253862</v>
          </cell>
          <cell r="E159">
            <v>23217009</v>
          </cell>
          <cell r="F159">
            <v>7667978</v>
          </cell>
          <cell r="G159" t="str">
            <v>VG</v>
          </cell>
          <cell r="H159">
            <v>15</v>
          </cell>
          <cell r="I159" t="str">
            <v>L2</v>
          </cell>
          <cell r="J159">
            <v>15.42</v>
          </cell>
          <cell r="K159">
            <v>8.19</v>
          </cell>
          <cell r="L159">
            <v>9.6999999999999993</v>
          </cell>
          <cell r="M159">
            <v>10</v>
          </cell>
          <cell r="N159">
            <v>0</v>
          </cell>
          <cell r="O159">
            <v>10</v>
          </cell>
          <cell r="P159">
            <v>9.9</v>
          </cell>
          <cell r="Q159">
            <v>9.3000000000000007</v>
          </cell>
          <cell r="R159">
            <v>0</v>
          </cell>
          <cell r="S159">
            <v>13253862</v>
          </cell>
          <cell r="T159">
            <v>10.8</v>
          </cell>
          <cell r="U159">
            <v>1.1000000000000001</v>
          </cell>
          <cell r="V159">
            <v>10.8</v>
          </cell>
          <cell r="W159">
            <v>1.1000000000000001</v>
          </cell>
          <cell r="X159">
            <v>9.6999999999999993</v>
          </cell>
          <cell r="Y159">
            <v>0</v>
          </cell>
          <cell r="Z159">
            <v>44561</v>
          </cell>
          <cell r="AA159">
            <v>5994425.8300000001</v>
          </cell>
          <cell r="AB159">
            <v>5080482.1561000003</v>
          </cell>
          <cell r="AC159">
            <v>-1325386.1361</v>
          </cell>
          <cell r="AD159">
            <v>-1325386.1361</v>
          </cell>
          <cell r="AE159">
            <v>-621721.52439999999</v>
          </cell>
          <cell r="AF159">
            <v>774025.54079999996</v>
          </cell>
          <cell r="AG159">
            <v>836318.69220000005</v>
          </cell>
        </row>
        <row r="160">
          <cell r="A160" t="str">
            <v>39100</v>
          </cell>
          <cell r="B160" t="str">
            <v>391.00</v>
          </cell>
          <cell r="C160" t="str">
            <v>Office Furniture and Equip. - Furniture</v>
          </cell>
          <cell r="D160">
            <v>35111974</v>
          </cell>
          <cell r="E160">
            <v>43168322</v>
          </cell>
          <cell r="F160">
            <v>22322368</v>
          </cell>
          <cell r="G160" t="str">
            <v>BG</v>
          </cell>
          <cell r="H160">
            <v>24</v>
          </cell>
          <cell r="I160" t="str">
            <v>SQ</v>
          </cell>
          <cell r="J160">
            <v>24</v>
          </cell>
          <cell r="K160">
            <v>15.26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8.6999999999999993</v>
          </cell>
          <cell r="R160">
            <v>0</v>
          </cell>
          <cell r="S160">
            <v>35111974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44561</v>
          </cell>
          <cell r="AA160">
            <v>12690092.52</v>
          </cell>
          <cell r="AB160">
            <v>12789606</v>
          </cell>
          <cell r="AC160">
            <v>0</v>
          </cell>
          <cell r="AD160">
            <v>0</v>
          </cell>
          <cell r="AE160">
            <v>0</v>
          </cell>
          <cell r="AF160">
            <v>1459467.1495000001</v>
          </cell>
          <cell r="AG160">
            <v>1459467.1495000001</v>
          </cell>
        </row>
        <row r="161">
          <cell r="A161" t="str">
            <v>39120</v>
          </cell>
          <cell r="B161" t="str">
            <v>391.20</v>
          </cell>
          <cell r="C161" t="str">
            <v>Office Furniture and Equip. - Computers</v>
          </cell>
          <cell r="D161">
            <v>72576734</v>
          </cell>
          <cell r="E161">
            <v>175214287</v>
          </cell>
          <cell r="F161">
            <v>38073739</v>
          </cell>
          <cell r="G161" t="str">
            <v>BG</v>
          </cell>
          <cell r="H161">
            <v>5</v>
          </cell>
          <cell r="I161" t="str">
            <v>SQ</v>
          </cell>
          <cell r="J161">
            <v>5</v>
          </cell>
          <cell r="K161">
            <v>2.62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2.4</v>
          </cell>
          <cell r="R161">
            <v>0</v>
          </cell>
          <cell r="S161">
            <v>72576734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44561</v>
          </cell>
          <cell r="AA161">
            <v>30134909.120000001</v>
          </cell>
          <cell r="AB161">
            <v>34502995</v>
          </cell>
          <cell r="AC161">
            <v>0</v>
          </cell>
          <cell r="AD161">
            <v>0</v>
          </cell>
          <cell r="AE161">
            <v>0</v>
          </cell>
          <cell r="AF161">
            <v>13556858.2227</v>
          </cell>
          <cell r="AG161">
            <v>13556858.2227</v>
          </cell>
        </row>
        <row r="162">
          <cell r="A162" t="str">
            <v>39300</v>
          </cell>
          <cell r="B162" t="str">
            <v>393.00</v>
          </cell>
          <cell r="C162" t="str">
            <v>Stores Equipment</v>
          </cell>
          <cell r="D162">
            <v>1542295</v>
          </cell>
          <cell r="E162">
            <v>5049127</v>
          </cell>
          <cell r="F162">
            <v>525510</v>
          </cell>
          <cell r="G162" t="str">
            <v>BG</v>
          </cell>
          <cell r="H162">
            <v>15</v>
          </cell>
          <cell r="I162" t="str">
            <v>SQ</v>
          </cell>
          <cell r="J162">
            <v>15</v>
          </cell>
          <cell r="K162">
            <v>5.1100000000000003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9.9</v>
          </cell>
          <cell r="R162">
            <v>0</v>
          </cell>
          <cell r="S162">
            <v>1542295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44561</v>
          </cell>
          <cell r="AA162">
            <v>1011876.91</v>
          </cell>
          <cell r="AB162">
            <v>1016785</v>
          </cell>
          <cell r="AC162">
            <v>0</v>
          </cell>
          <cell r="AD162">
            <v>0</v>
          </cell>
          <cell r="AE162">
            <v>0</v>
          </cell>
          <cell r="AF162">
            <v>100234.9547</v>
          </cell>
          <cell r="AG162">
            <v>100234.9547</v>
          </cell>
        </row>
        <row r="163">
          <cell r="A163" t="str">
            <v>39400</v>
          </cell>
          <cell r="B163" t="str">
            <v>394.00</v>
          </cell>
          <cell r="C163" t="str">
            <v>Tools, Shop and Garage Equipment</v>
          </cell>
          <cell r="D163">
            <v>10392145</v>
          </cell>
          <cell r="E163">
            <v>19315688</v>
          </cell>
          <cell r="F163">
            <v>5958377</v>
          </cell>
          <cell r="G163" t="str">
            <v>BG</v>
          </cell>
          <cell r="H163">
            <v>17</v>
          </cell>
          <cell r="I163" t="str">
            <v>SQ</v>
          </cell>
          <cell r="J163">
            <v>17</v>
          </cell>
          <cell r="K163">
            <v>9.75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7.3</v>
          </cell>
          <cell r="R163">
            <v>0</v>
          </cell>
          <cell r="S163">
            <v>10392145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44561</v>
          </cell>
          <cell r="AA163">
            <v>4381658.8099999996</v>
          </cell>
          <cell r="AB163">
            <v>4433768</v>
          </cell>
          <cell r="AC163">
            <v>0</v>
          </cell>
          <cell r="AD163">
            <v>0</v>
          </cell>
          <cell r="AE163">
            <v>0</v>
          </cell>
          <cell r="AF163">
            <v>602376.79139999999</v>
          </cell>
          <cell r="AG163">
            <v>602376.79139999999</v>
          </cell>
        </row>
        <row r="164">
          <cell r="A164" t="str">
            <v>39500</v>
          </cell>
          <cell r="B164" t="str">
            <v>395.00</v>
          </cell>
          <cell r="C164" t="str">
            <v>Laboratory Equipment</v>
          </cell>
          <cell r="D164">
            <v>6519082</v>
          </cell>
          <cell r="E164">
            <v>11811318</v>
          </cell>
          <cell r="F164">
            <v>3022530</v>
          </cell>
          <cell r="G164" t="str">
            <v>BG</v>
          </cell>
          <cell r="H164">
            <v>17</v>
          </cell>
          <cell r="I164" t="str">
            <v>SQ</v>
          </cell>
          <cell r="J164">
            <v>17</v>
          </cell>
          <cell r="K164">
            <v>7.88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9.1</v>
          </cell>
          <cell r="R164">
            <v>0</v>
          </cell>
          <cell r="S164">
            <v>6519082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44561</v>
          </cell>
          <cell r="AA164">
            <v>3508160.89</v>
          </cell>
          <cell r="AB164">
            <v>3496552</v>
          </cell>
          <cell r="AC164">
            <v>0</v>
          </cell>
          <cell r="AD164">
            <v>0</v>
          </cell>
          <cell r="AE164">
            <v>0</v>
          </cell>
          <cell r="AF164">
            <v>363182.10060000001</v>
          </cell>
          <cell r="AG164">
            <v>363182.10060000001</v>
          </cell>
        </row>
        <row r="165">
          <cell r="A165" t="str">
            <v>39700</v>
          </cell>
          <cell r="B165" t="str">
            <v>397.00</v>
          </cell>
          <cell r="C165" t="str">
            <v>Communication Equipment</v>
          </cell>
          <cell r="D165">
            <v>137594628</v>
          </cell>
          <cell r="E165">
            <v>151424146</v>
          </cell>
          <cell r="F165">
            <v>83327159</v>
          </cell>
          <cell r="G165" t="str">
            <v>BG</v>
          </cell>
          <cell r="H165">
            <v>15</v>
          </cell>
          <cell r="I165" t="str">
            <v>SQ</v>
          </cell>
          <cell r="J165">
            <v>15</v>
          </cell>
          <cell r="K165">
            <v>9.08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5.9</v>
          </cell>
          <cell r="R165">
            <v>0</v>
          </cell>
          <cell r="S165">
            <v>137594628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44561</v>
          </cell>
          <cell r="AA165">
            <v>52905619.060000002</v>
          </cell>
          <cell r="AB165">
            <v>54267469</v>
          </cell>
          <cell r="AC165">
            <v>0</v>
          </cell>
          <cell r="AD165">
            <v>0</v>
          </cell>
          <cell r="AE165">
            <v>0</v>
          </cell>
          <cell r="AF165">
            <v>8984762.6482999995</v>
          </cell>
          <cell r="AG165">
            <v>8984762.6482999995</v>
          </cell>
        </row>
        <row r="166">
          <cell r="A166" t="str">
            <v>39800</v>
          </cell>
          <cell r="B166" t="str">
            <v>398.00</v>
          </cell>
          <cell r="C166" t="str">
            <v>Miscellaneous Equipment</v>
          </cell>
          <cell r="D166">
            <v>5730630</v>
          </cell>
          <cell r="E166">
            <v>8135993</v>
          </cell>
          <cell r="F166">
            <v>2490802</v>
          </cell>
          <cell r="G166" t="str">
            <v>BG</v>
          </cell>
          <cell r="H166">
            <v>20</v>
          </cell>
          <cell r="I166" t="str">
            <v>SQ</v>
          </cell>
          <cell r="J166">
            <v>20</v>
          </cell>
          <cell r="K166">
            <v>8.69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11.3</v>
          </cell>
          <cell r="R166">
            <v>0</v>
          </cell>
          <cell r="S166">
            <v>5730630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44561</v>
          </cell>
          <cell r="AA166">
            <v>3235078.39</v>
          </cell>
          <cell r="AB166">
            <v>3239828</v>
          </cell>
          <cell r="AC166">
            <v>0</v>
          </cell>
          <cell r="AD166">
            <v>0</v>
          </cell>
          <cell r="AE166">
            <v>0</v>
          </cell>
          <cell r="AF166">
            <v>286180.6139</v>
          </cell>
          <cell r="AG166">
            <v>286180.6139</v>
          </cell>
        </row>
        <row r="167">
          <cell r="A167" t="str">
            <v>10802</v>
          </cell>
          <cell r="B167" t="str">
            <v>108.02</v>
          </cell>
          <cell r="C167" t="str">
            <v>Distribution</v>
          </cell>
          <cell r="D167">
            <v>2021071955</v>
          </cell>
          <cell r="E167">
            <v>2244385054</v>
          </cell>
          <cell r="F167">
            <v>-105221033.82610001</v>
          </cell>
          <cell r="H167">
            <v>0</v>
          </cell>
          <cell r="J167">
            <v>48.07</v>
          </cell>
          <cell r="K167">
            <v>35.380000000000003</v>
          </cell>
          <cell r="L167">
            <v>-20.7</v>
          </cell>
          <cell r="M167">
            <v>-20</v>
          </cell>
          <cell r="N167">
            <v>0</v>
          </cell>
          <cell r="O167">
            <v>-20</v>
          </cell>
          <cell r="P167">
            <v>-20.100000000000001</v>
          </cell>
          <cell r="Q167">
            <v>0</v>
          </cell>
          <cell r="R167">
            <v>0</v>
          </cell>
          <cell r="S167">
            <v>2021071955</v>
          </cell>
          <cell r="T167">
            <v>21.9</v>
          </cell>
          <cell r="U167">
            <v>42.6</v>
          </cell>
          <cell r="V167">
            <v>27.6</v>
          </cell>
          <cell r="W167">
            <v>54.1</v>
          </cell>
          <cell r="X167">
            <v>-26.5</v>
          </cell>
          <cell r="Y167">
            <v>0</v>
          </cell>
          <cell r="AA167">
            <v>-23256750.260000002</v>
          </cell>
          <cell r="AB167">
            <v>91377101.657399997</v>
          </cell>
          <cell r="AC167">
            <v>0</v>
          </cell>
          <cell r="AD167">
            <v>0</v>
          </cell>
          <cell r="AE167">
            <v>0</v>
          </cell>
          <cell r="AF167">
            <v>8488502.2109999992</v>
          </cell>
          <cell r="AG167">
            <v>8892716.602</v>
          </cell>
        </row>
      </sheetData>
      <sheetData sheetId="1">
        <row r="1">
          <cell r="A1" t="str">
            <v>TUCSON ELECTRIC POWER COMPANY</v>
          </cell>
        </row>
      </sheetData>
      <sheetData sheetId="2">
        <row r="1">
          <cell r="U1" t="str">
            <v>VG</v>
          </cell>
        </row>
        <row r="3">
          <cell r="S3" t="str">
            <v>Company Vintage Group Procedure</v>
          </cell>
          <cell r="T3">
            <v>1</v>
          </cell>
          <cell r="U3" t="str">
            <v>VG</v>
          </cell>
          <cell r="W3" t="str">
            <v>With Redistribution</v>
          </cell>
          <cell r="X3">
            <v>1</v>
          </cell>
          <cell r="Z3" t="str">
            <v>With Average and Future Net Salvage</v>
          </cell>
          <cell r="AA3">
            <v>1</v>
          </cell>
          <cell r="AC3" t="str">
            <v>2008 Study Remaining-Life Rates</v>
          </cell>
          <cell r="AD3">
            <v>1</v>
          </cell>
          <cell r="AF3" t="str">
            <v>Single Technique</v>
          </cell>
          <cell r="AG3">
            <v>1</v>
          </cell>
        </row>
        <row r="4">
          <cell r="S4" t="str">
            <v>Company Broad Group Procedure</v>
          </cell>
          <cell r="T4">
            <v>2</v>
          </cell>
          <cell r="U4" t="str">
            <v>BG</v>
          </cell>
          <cell r="W4" t="str">
            <v>Without Redistribution or Amortization</v>
          </cell>
          <cell r="X4">
            <v>0</v>
          </cell>
          <cell r="Z4" t="str">
            <v>Without Future Net Salvage</v>
          </cell>
          <cell r="AA4">
            <v>2</v>
          </cell>
          <cell r="AC4" t="str">
            <v>2007 Update Remaining-Life Rates</v>
          </cell>
          <cell r="AD4">
            <v>0</v>
          </cell>
          <cell r="AF4" t="str">
            <v>Combined Whole-Life/Remaining-Life</v>
          </cell>
          <cell r="AG4">
            <v>0</v>
          </cell>
        </row>
        <row r="5">
          <cell r="S5" t="str">
            <v>Staff Vintage Group Procedure</v>
          </cell>
          <cell r="T5">
            <v>3</v>
          </cell>
          <cell r="U5" t="str">
            <v>VG</v>
          </cell>
          <cell r="W5" t="str">
            <v>Redistribution from Total Steam</v>
          </cell>
          <cell r="X5">
            <v>2</v>
          </cell>
          <cell r="Z5" t="str">
            <v>Without Average and Future Net Salvage</v>
          </cell>
          <cell r="AA5">
            <v>3</v>
          </cell>
        </row>
        <row r="6">
          <cell r="S6" t="str">
            <v>Staff Broad Group Procedure</v>
          </cell>
          <cell r="T6">
            <v>4</v>
          </cell>
          <cell r="U6" t="str">
            <v>BG</v>
          </cell>
          <cell r="W6" t="str">
            <v>Redistribution within Four Corners</v>
          </cell>
          <cell r="X6">
            <v>3</v>
          </cell>
        </row>
      </sheetData>
      <sheetData sheetId="3">
        <row r="1">
          <cell r="V1" t="str">
            <v xml:space="preserve">   Statement H</v>
          </cell>
        </row>
        <row r="7">
          <cell r="AN7" t="str">
            <v>Test</v>
          </cell>
          <cell r="AR7" t="str">
            <v>Cost of Removal</v>
          </cell>
          <cell r="AX7" t="str">
            <v>Salvage</v>
          </cell>
        </row>
        <row r="8">
          <cell r="AD8" t="str">
            <v>COR (Sur)</v>
          </cell>
          <cell r="AJ8" t="str">
            <v>COR(Sdr)</v>
          </cell>
          <cell r="AN8" t="str">
            <v>NSd*Sf/100</v>
          </cell>
          <cell r="AR8" t="str">
            <v>Future(Sfr)</v>
          </cell>
          <cell r="AT8" t="str">
            <v>Avg (Sar)</v>
          </cell>
          <cell r="AV8" t="str">
            <v>Total(TRRr)</v>
          </cell>
          <cell r="AX8" t="str">
            <v>Future(Sfs)</v>
          </cell>
          <cell r="AZ8" t="str">
            <v>Avarage(Sas</v>
          </cell>
          <cell r="BB8" t="str">
            <v>Total(TRRs)</v>
          </cell>
          <cell r="BF8" t="str">
            <v>Investment</v>
          </cell>
          <cell r="BH8" t="str">
            <v>Total</v>
          </cell>
        </row>
        <row r="9">
          <cell r="AD9" t="str">
            <v>AD</v>
          </cell>
          <cell r="AJ9" t="str">
            <v>AJ</v>
          </cell>
        </row>
        <row r="12">
          <cell r="AN12">
            <v>0</v>
          </cell>
          <cell r="AR12">
            <v>0</v>
          </cell>
          <cell r="AT12">
            <v>0</v>
          </cell>
          <cell r="AV12">
            <v>2967.9389312977096</v>
          </cell>
          <cell r="AX12">
            <v>0</v>
          </cell>
          <cell r="AZ12">
            <v>0</v>
          </cell>
          <cell r="BB12">
            <v>0</v>
          </cell>
          <cell r="BF12">
            <v>29.979181124219288</v>
          </cell>
          <cell r="BH12">
            <v>29.979181124219288</v>
          </cell>
        </row>
        <row r="13">
          <cell r="AN13">
            <v>0</v>
          </cell>
          <cell r="AR13">
            <v>-15.9</v>
          </cell>
          <cell r="AT13">
            <v>-15.5</v>
          </cell>
          <cell r="AV13">
            <v>5897.0528087526081</v>
          </cell>
          <cell r="AX13">
            <v>0</v>
          </cell>
          <cell r="AZ13">
            <v>0</v>
          </cell>
          <cell r="BB13">
            <v>0</v>
          </cell>
          <cell r="BF13">
            <v>51.810912511759177</v>
          </cell>
          <cell r="BH13">
            <v>59.488637212643667</v>
          </cell>
        </row>
        <row r="14">
          <cell r="AN14">
            <v>0</v>
          </cell>
          <cell r="AR14">
            <v>-6.3</v>
          </cell>
          <cell r="AT14">
            <v>-5.5</v>
          </cell>
          <cell r="AV14">
            <v>5268.2893097518008</v>
          </cell>
          <cell r="AX14">
            <v>0</v>
          </cell>
          <cell r="AZ14">
            <v>0</v>
          </cell>
          <cell r="BB14">
            <v>0</v>
          </cell>
          <cell r="BF14">
            <v>50.770160072485652</v>
          </cell>
          <cell r="BH14">
            <v>53.190594698242869</v>
          </cell>
        </row>
        <row r="15">
          <cell r="AN15">
            <v>0</v>
          </cell>
          <cell r="AR15">
            <v>-4.4000000000000004</v>
          </cell>
          <cell r="AT15">
            <v>-3.7</v>
          </cell>
          <cell r="AV15">
            <v>4827.3689316011469</v>
          </cell>
          <cell r="AX15">
            <v>0</v>
          </cell>
          <cell r="AZ15">
            <v>0</v>
          </cell>
          <cell r="BB15">
            <v>0</v>
          </cell>
          <cell r="BF15">
            <v>47.350374064837894</v>
          </cell>
          <cell r="BH15">
            <v>48.747193056659846</v>
          </cell>
        </row>
        <row r="16">
          <cell r="AN16">
            <v>0</v>
          </cell>
          <cell r="AR16">
            <v>-8.1999999999999993</v>
          </cell>
          <cell r="AT16">
            <v>-7.6</v>
          </cell>
          <cell r="AV16">
            <v>6181.0120428390746</v>
          </cell>
          <cell r="AX16">
            <v>0</v>
          </cell>
          <cell r="AZ16">
            <v>0</v>
          </cell>
          <cell r="BB16">
            <v>0</v>
          </cell>
          <cell r="BF16">
            <v>57.593543653705062</v>
          </cell>
          <cell r="BH16">
            <v>62.386055864927791</v>
          </cell>
        </row>
        <row r="17">
          <cell r="AN17">
            <v>0</v>
          </cell>
          <cell r="AR17">
            <v>-12.4</v>
          </cell>
          <cell r="AT17">
            <v>-11.8</v>
          </cell>
          <cell r="AV17">
            <v>5297.568671344583</v>
          </cell>
          <cell r="AX17">
            <v>0</v>
          </cell>
          <cell r="AZ17">
            <v>0</v>
          </cell>
          <cell r="BB17">
            <v>0</v>
          </cell>
          <cell r="BF17">
            <v>47.727272727272727</v>
          </cell>
          <cell r="BH17">
            <v>53.452959440718558</v>
          </cell>
        </row>
        <row r="21">
          <cell r="AN21">
            <v>0</v>
          </cell>
          <cell r="AR21">
            <v>0</v>
          </cell>
          <cell r="AT21">
            <v>0</v>
          </cell>
          <cell r="AV21">
            <v>2152.5384830674475</v>
          </cell>
          <cell r="AX21">
            <v>0</v>
          </cell>
          <cell r="AZ21">
            <v>0</v>
          </cell>
          <cell r="BB21">
            <v>0</v>
          </cell>
          <cell r="BF21">
            <v>30.702490904002232</v>
          </cell>
          <cell r="BH21">
            <v>21.8324097397145</v>
          </cell>
        </row>
        <row r="22">
          <cell r="AN22">
            <v>0</v>
          </cell>
          <cell r="AR22">
            <v>0</v>
          </cell>
          <cell r="AT22">
            <v>0</v>
          </cell>
          <cell r="AV22">
            <v>2361.6917562724025</v>
          </cell>
          <cell r="AX22">
            <v>0</v>
          </cell>
          <cell r="AZ22">
            <v>0</v>
          </cell>
          <cell r="BB22">
            <v>0</v>
          </cell>
          <cell r="BF22">
            <v>27.025089605734777</v>
          </cell>
          <cell r="BH22">
            <v>23.887168458781371</v>
          </cell>
        </row>
        <row r="23">
          <cell r="AN23">
            <v>0</v>
          </cell>
          <cell r="AR23">
            <v>0</v>
          </cell>
          <cell r="AT23">
            <v>0</v>
          </cell>
          <cell r="AV23">
            <v>3119.857740585775</v>
          </cell>
          <cell r="AX23">
            <v>0</v>
          </cell>
          <cell r="AZ23">
            <v>0</v>
          </cell>
          <cell r="BB23">
            <v>0</v>
          </cell>
          <cell r="BF23">
            <v>32.803347280334727</v>
          </cell>
          <cell r="BH23">
            <v>31.526610878661099</v>
          </cell>
        </row>
        <row r="24">
          <cell r="AN24">
            <v>0</v>
          </cell>
          <cell r="AR24">
            <v>0</v>
          </cell>
          <cell r="AT24">
            <v>0</v>
          </cell>
          <cell r="AV24">
            <v>2561.4084507042239</v>
          </cell>
          <cell r="AX24">
            <v>0</v>
          </cell>
          <cell r="AZ24">
            <v>0</v>
          </cell>
          <cell r="BB24">
            <v>0</v>
          </cell>
          <cell r="BF24">
            <v>26.760563380281678</v>
          </cell>
          <cell r="BH24">
            <v>25.881690140845059</v>
          </cell>
        </row>
        <row r="25">
          <cell r="AN25">
            <v>0</v>
          </cell>
          <cell r="AR25">
            <v>0</v>
          </cell>
          <cell r="AT25">
            <v>0</v>
          </cell>
          <cell r="AV25">
            <v>1764.1391204369081</v>
          </cell>
          <cell r="AX25">
            <v>0</v>
          </cell>
          <cell r="AZ25">
            <v>0</v>
          </cell>
          <cell r="BB25">
            <v>0</v>
          </cell>
          <cell r="BF25">
            <v>18.884736993388906</v>
          </cell>
          <cell r="BH25">
            <v>17.830238574302971</v>
          </cell>
        </row>
        <row r="26">
          <cell r="AN26">
            <v>0</v>
          </cell>
          <cell r="AR26">
            <v>0</v>
          </cell>
          <cell r="AT26">
            <v>0</v>
          </cell>
          <cell r="AV26">
            <v>1970.6713780918726</v>
          </cell>
          <cell r="AX26">
            <v>0</v>
          </cell>
          <cell r="AZ26">
            <v>0</v>
          </cell>
          <cell r="BB26">
            <v>0</v>
          </cell>
          <cell r="BF26">
            <v>22.261484098939931</v>
          </cell>
          <cell r="BH26">
            <v>19.929328621908127</v>
          </cell>
        </row>
        <row r="30">
          <cell r="AN30">
            <v>0</v>
          </cell>
          <cell r="AR30">
            <v>0</v>
          </cell>
          <cell r="AT30">
            <v>0</v>
          </cell>
          <cell r="AV30">
            <v>-796.6510067114109</v>
          </cell>
          <cell r="AX30">
            <v>0</v>
          </cell>
          <cell r="AZ30">
            <v>0</v>
          </cell>
          <cell r="BB30">
            <v>0</v>
          </cell>
          <cell r="BF30">
            <v>4.6644295302013417</v>
          </cell>
          <cell r="BH30">
            <v>-7.9198657718120957</v>
          </cell>
        </row>
        <row r="31">
          <cell r="AN31">
            <v>0</v>
          </cell>
          <cell r="AR31">
            <v>0</v>
          </cell>
          <cell r="AT31">
            <v>0</v>
          </cell>
          <cell r="AV31">
            <v>-409.44598337950202</v>
          </cell>
          <cell r="AX31">
            <v>0</v>
          </cell>
          <cell r="AZ31">
            <v>0</v>
          </cell>
          <cell r="BB31">
            <v>0</v>
          </cell>
          <cell r="BF31">
            <v>1.6274238227146798</v>
          </cell>
          <cell r="BH31">
            <v>-4.0781855955678736</v>
          </cell>
        </row>
        <row r="32">
          <cell r="AN32">
            <v>0</v>
          </cell>
          <cell r="AR32">
            <v>0</v>
          </cell>
          <cell r="AT32">
            <v>0</v>
          </cell>
          <cell r="AV32">
            <v>-15.955678670361117</v>
          </cell>
          <cell r="AX32">
            <v>0</v>
          </cell>
          <cell r="AZ32">
            <v>0</v>
          </cell>
          <cell r="BB32">
            <v>0</v>
          </cell>
          <cell r="BF32">
            <v>1.6274238227146798</v>
          </cell>
          <cell r="BH32">
            <v>-0.14328254847646438</v>
          </cell>
        </row>
        <row r="33">
          <cell r="AN33">
            <v>0</v>
          </cell>
          <cell r="AR33">
            <v>0</v>
          </cell>
          <cell r="AT33">
            <v>0</v>
          </cell>
          <cell r="AV33">
            <v>-6.1184210526303184</v>
          </cell>
          <cell r="AX33">
            <v>0</v>
          </cell>
          <cell r="AZ33">
            <v>0</v>
          </cell>
          <cell r="BB33">
            <v>0</v>
          </cell>
          <cell r="BF33">
            <v>1.6274238227146798</v>
          </cell>
          <cell r="BH33">
            <v>-4.4909972299156387E-2</v>
          </cell>
        </row>
        <row r="34">
          <cell r="AN34">
            <v>0</v>
          </cell>
          <cell r="AR34">
            <v>0</v>
          </cell>
          <cell r="AT34">
            <v>0</v>
          </cell>
          <cell r="AV34">
            <v>-74.979224376732589</v>
          </cell>
          <cell r="AX34">
            <v>0</v>
          </cell>
          <cell r="AZ34">
            <v>0</v>
          </cell>
          <cell r="BB34">
            <v>0</v>
          </cell>
          <cell r="BF34">
            <v>1.6274238227146798</v>
          </cell>
          <cell r="BH34">
            <v>-0.7335180055401791</v>
          </cell>
        </row>
        <row r="38">
          <cell r="AN38">
            <v>0</v>
          </cell>
          <cell r="AR38">
            <v>0</v>
          </cell>
          <cell r="AT38">
            <v>0</v>
          </cell>
          <cell r="AV38">
            <v>3022.4008574490881</v>
          </cell>
          <cell r="AX38">
            <v>0</v>
          </cell>
          <cell r="AZ38">
            <v>0</v>
          </cell>
          <cell r="BB38">
            <v>0</v>
          </cell>
          <cell r="BF38">
            <v>33.869239013933537</v>
          </cell>
          <cell r="BH38">
            <v>30.562700964630217</v>
          </cell>
        </row>
        <row r="42">
          <cell r="AD42">
            <v>0</v>
          </cell>
          <cell r="AJ42">
            <v>0</v>
          </cell>
          <cell r="AN42">
            <v>0</v>
          </cell>
          <cell r="AR42">
            <v>0</v>
          </cell>
          <cell r="AT42">
            <v>0</v>
          </cell>
          <cell r="AV42">
            <v>4597.0176607797403</v>
          </cell>
          <cell r="AX42">
            <v>0</v>
          </cell>
          <cell r="AZ42">
            <v>0</v>
          </cell>
          <cell r="BB42">
            <v>0</v>
          </cell>
          <cell r="BF42">
            <v>46.434521826057981</v>
          </cell>
          <cell r="BH42">
            <v>46.434521826057981</v>
          </cell>
        </row>
        <row r="43">
          <cell r="AD43">
            <v>0</v>
          </cell>
          <cell r="AJ43">
            <v>0</v>
          </cell>
          <cell r="AN43">
            <v>0</v>
          </cell>
          <cell r="AR43">
            <v>0</v>
          </cell>
          <cell r="AT43">
            <v>0</v>
          </cell>
          <cell r="AV43">
            <v>884.75083056478445</v>
          </cell>
          <cell r="AX43">
            <v>0</v>
          </cell>
          <cell r="AZ43">
            <v>0</v>
          </cell>
          <cell r="BB43">
            <v>0</v>
          </cell>
          <cell r="BF43">
            <v>8.9368770764119638</v>
          </cell>
          <cell r="BH43">
            <v>8.9368770764119638</v>
          </cell>
        </row>
        <row r="44">
          <cell r="AD44">
            <v>0</v>
          </cell>
          <cell r="AJ44">
            <v>0</v>
          </cell>
          <cell r="AN44">
            <v>0</v>
          </cell>
          <cell r="AR44">
            <v>0</v>
          </cell>
          <cell r="AT44">
            <v>0</v>
          </cell>
          <cell r="AV44">
            <v>1750.9411764705883</v>
          </cell>
          <cell r="AX44">
            <v>0</v>
          </cell>
          <cell r="AZ44">
            <v>0</v>
          </cell>
          <cell r="BB44">
            <v>0</v>
          </cell>
          <cell r="BF44">
            <v>17.686274509803923</v>
          </cell>
          <cell r="BH44">
            <v>17.686274509803923</v>
          </cell>
        </row>
        <row r="45">
          <cell r="AD45">
            <v>0</v>
          </cell>
          <cell r="AJ45">
            <v>0</v>
          </cell>
          <cell r="AN45">
            <v>0</v>
          </cell>
          <cell r="AR45">
            <v>0</v>
          </cell>
          <cell r="AT45">
            <v>0</v>
          </cell>
          <cell r="AV45">
            <v>2470.5146792316068</v>
          </cell>
          <cell r="AX45">
            <v>0</v>
          </cell>
          <cell r="AZ45">
            <v>0</v>
          </cell>
          <cell r="BB45">
            <v>0</v>
          </cell>
          <cell r="BF45">
            <v>24.954693729612188</v>
          </cell>
          <cell r="BH45">
            <v>24.954693729612188</v>
          </cell>
        </row>
        <row r="46">
          <cell r="AD46">
            <v>0</v>
          </cell>
          <cell r="AJ46">
            <v>0</v>
          </cell>
          <cell r="AN46">
            <v>0</v>
          </cell>
          <cell r="AR46">
            <v>0</v>
          </cell>
          <cell r="AT46">
            <v>0</v>
          </cell>
          <cell r="AV46">
            <v>2992.8127286027798</v>
          </cell>
          <cell r="AX46">
            <v>0</v>
          </cell>
          <cell r="AZ46">
            <v>0</v>
          </cell>
          <cell r="BB46">
            <v>0</v>
          </cell>
          <cell r="BF46">
            <v>30.230431602048281</v>
          </cell>
          <cell r="BH46">
            <v>30.230431602048281</v>
          </cell>
        </row>
        <row r="47">
          <cell r="AD47">
            <v>0</v>
          </cell>
          <cell r="AJ47">
            <v>0</v>
          </cell>
          <cell r="AN47">
            <v>0</v>
          </cell>
          <cell r="AR47">
            <v>0</v>
          </cell>
          <cell r="AT47">
            <v>0</v>
          </cell>
          <cell r="AV47">
            <v>3027.9486728774823</v>
          </cell>
          <cell r="AX47">
            <v>0</v>
          </cell>
          <cell r="AZ47">
            <v>0</v>
          </cell>
          <cell r="BB47">
            <v>0</v>
          </cell>
          <cell r="BF47">
            <v>30.585340130075579</v>
          </cell>
          <cell r="BH47">
            <v>30.585340130075579</v>
          </cell>
        </row>
        <row r="48">
          <cell r="AD48">
            <v>0</v>
          </cell>
          <cell r="AJ48">
            <v>0</v>
          </cell>
          <cell r="AN48">
            <v>0</v>
          </cell>
          <cell r="AR48">
            <v>0</v>
          </cell>
          <cell r="AT48">
            <v>0</v>
          </cell>
          <cell r="AV48">
            <v>3408.4569138276552</v>
          </cell>
          <cell r="AX48">
            <v>0</v>
          </cell>
          <cell r="AZ48">
            <v>0</v>
          </cell>
          <cell r="BB48">
            <v>0</v>
          </cell>
          <cell r="BF48">
            <v>34.428857715430858</v>
          </cell>
          <cell r="BH48">
            <v>34.428857715430858</v>
          </cell>
        </row>
        <row r="49">
          <cell r="AD49">
            <v>0</v>
          </cell>
          <cell r="AJ49">
            <v>0</v>
          </cell>
          <cell r="AN49">
            <v>0</v>
          </cell>
          <cell r="AR49">
            <v>0</v>
          </cell>
          <cell r="AT49">
            <v>0</v>
          </cell>
          <cell r="AV49">
            <v>2723.5646156723396</v>
          </cell>
          <cell r="AX49">
            <v>0</v>
          </cell>
          <cell r="AZ49">
            <v>0</v>
          </cell>
          <cell r="BB49">
            <v>0</v>
          </cell>
          <cell r="BF49">
            <v>27.510753693659996</v>
          </cell>
          <cell r="BH49">
            <v>27.510753693659996</v>
          </cell>
        </row>
        <row r="50">
          <cell r="AD50">
            <v>0</v>
          </cell>
          <cell r="AJ50">
            <v>0</v>
          </cell>
          <cell r="AN50">
            <v>0</v>
          </cell>
          <cell r="AR50">
            <v>0</v>
          </cell>
          <cell r="AT50">
            <v>0</v>
          </cell>
          <cell r="AV50">
            <v>2792.3997823326681</v>
          </cell>
          <cell r="AX50">
            <v>0</v>
          </cell>
          <cell r="AZ50">
            <v>0</v>
          </cell>
          <cell r="BB50">
            <v>0</v>
          </cell>
          <cell r="BF50">
            <v>28.20605840740069</v>
          </cell>
          <cell r="BH50">
            <v>28.20605840740069</v>
          </cell>
        </row>
        <row r="51">
          <cell r="AD51">
            <v>0</v>
          </cell>
          <cell r="AJ51">
            <v>0</v>
          </cell>
          <cell r="AN51">
            <v>0</v>
          </cell>
          <cell r="AR51">
            <v>0</v>
          </cell>
          <cell r="AT51">
            <v>0</v>
          </cell>
          <cell r="AV51">
            <v>2824.0257131378066</v>
          </cell>
          <cell r="AX51">
            <v>0</v>
          </cell>
          <cell r="AZ51">
            <v>0</v>
          </cell>
          <cell r="BB51">
            <v>0</v>
          </cell>
          <cell r="BF51">
            <v>28.525512253917242</v>
          </cell>
          <cell r="BH51">
            <v>28.525512253917242</v>
          </cell>
        </row>
        <row r="52">
          <cell r="AD52">
            <v>0</v>
          </cell>
          <cell r="AJ52">
            <v>0</v>
          </cell>
          <cell r="AN52">
            <v>0</v>
          </cell>
          <cell r="AR52">
            <v>0</v>
          </cell>
          <cell r="AT52">
            <v>0</v>
          </cell>
          <cell r="AV52">
            <v>2596.8461538461534</v>
          </cell>
          <cell r="AX52">
            <v>0</v>
          </cell>
          <cell r="AZ52">
            <v>0</v>
          </cell>
          <cell r="BB52">
            <v>0</v>
          </cell>
          <cell r="BF52">
            <v>26.230769230769223</v>
          </cell>
          <cell r="BH52">
            <v>26.230769230769223</v>
          </cell>
        </row>
        <row r="53">
          <cell r="AD53">
            <v>0</v>
          </cell>
          <cell r="AJ53">
            <v>0</v>
          </cell>
          <cell r="AN53">
            <v>0</v>
          </cell>
          <cell r="AR53">
            <v>0</v>
          </cell>
          <cell r="AT53">
            <v>0</v>
          </cell>
          <cell r="AV53">
            <v>1005.46875</v>
          </cell>
          <cell r="AX53">
            <v>0</v>
          </cell>
          <cell r="AZ53">
            <v>0</v>
          </cell>
          <cell r="BB53">
            <v>0</v>
          </cell>
          <cell r="BF53">
            <v>10.15625</v>
          </cell>
          <cell r="BH53">
            <v>10.15625</v>
          </cell>
        </row>
        <row r="54">
          <cell r="AD54">
            <v>0</v>
          </cell>
          <cell r="AJ54">
            <v>0</v>
          </cell>
          <cell r="AN54">
            <v>0</v>
          </cell>
          <cell r="AR54">
            <v>0</v>
          </cell>
          <cell r="AT54">
            <v>0</v>
          </cell>
          <cell r="AV54">
            <v>2790.2833158447011</v>
          </cell>
          <cell r="AX54">
            <v>0</v>
          </cell>
          <cell r="AZ54">
            <v>0</v>
          </cell>
          <cell r="BB54">
            <v>0</v>
          </cell>
          <cell r="BF54">
            <v>28.184679958027282</v>
          </cell>
          <cell r="BH54">
            <v>28.184679958027282</v>
          </cell>
        </row>
        <row r="59">
          <cell r="AD59">
            <v>15.5</v>
          </cell>
          <cell r="AJ59">
            <v>12.2</v>
          </cell>
          <cell r="AN59">
            <v>1.22</v>
          </cell>
          <cell r="AR59">
            <v>10</v>
          </cell>
          <cell r="AT59">
            <v>10.199999999999999</v>
          </cell>
          <cell r="AV59">
            <v>1794.7605916269733</v>
          </cell>
          <cell r="AX59">
            <v>0</v>
          </cell>
          <cell r="AZ59">
            <v>0</v>
          </cell>
          <cell r="BB59">
            <v>0</v>
          </cell>
          <cell r="BF59">
            <v>16.771120581599398</v>
          </cell>
          <cell r="BH59">
            <v>18.115317122085727</v>
          </cell>
        </row>
        <row r="60">
          <cell r="AD60">
            <v>1.1000000000000014</v>
          </cell>
          <cell r="AJ60">
            <v>1.1000000000000014</v>
          </cell>
          <cell r="AN60">
            <v>2.25</v>
          </cell>
          <cell r="AR60">
            <v>1.1000000000000001</v>
          </cell>
          <cell r="AT60">
            <v>1.1000000000000001</v>
          </cell>
          <cell r="AV60">
            <v>3822.3282358360207</v>
          </cell>
          <cell r="AX60">
            <v>16.100000000000001</v>
          </cell>
          <cell r="AZ60">
            <v>16.100000000000001</v>
          </cell>
          <cell r="BB60">
            <v>-7.3121142330723181</v>
          </cell>
          <cell r="BF60">
            <v>45.416858590511289</v>
          </cell>
          <cell r="BH60">
            <v>38.604329801934597</v>
          </cell>
        </row>
        <row r="61">
          <cell r="AD61">
            <v>2.5</v>
          </cell>
          <cell r="AJ61">
            <v>2.5</v>
          </cell>
          <cell r="AN61">
            <v>4.04</v>
          </cell>
          <cell r="AR61">
            <v>2.5</v>
          </cell>
          <cell r="AT61">
            <v>2.5</v>
          </cell>
          <cell r="AV61">
            <v>3426.5420957542929</v>
          </cell>
          <cell r="AX61">
            <v>22.5</v>
          </cell>
          <cell r="AZ61">
            <v>22.6</v>
          </cell>
          <cell r="BB61">
            <v>-9.6586269196025292</v>
          </cell>
          <cell r="BF61">
            <v>43.179765130984649</v>
          </cell>
          <cell r="BH61">
            <v>34.600632339656748</v>
          </cell>
        </row>
        <row r="62">
          <cell r="AD62">
            <v>2.5</v>
          </cell>
          <cell r="AJ62">
            <v>2.5</v>
          </cell>
          <cell r="AN62">
            <v>4.54</v>
          </cell>
          <cell r="AR62">
            <v>2.2000000000000002</v>
          </cell>
          <cell r="AT62">
            <v>2.4</v>
          </cell>
          <cell r="AV62">
            <v>4449.089695780176</v>
          </cell>
          <cell r="AX62">
            <v>22.2</v>
          </cell>
          <cell r="AZ62">
            <v>24.2</v>
          </cell>
          <cell r="BB62">
            <v>-11.346810598626101</v>
          </cell>
          <cell r="BF62">
            <v>55.152109911678117</v>
          </cell>
          <cell r="BH62">
            <v>44.928949950932285</v>
          </cell>
        </row>
        <row r="63">
          <cell r="AD63">
            <v>3.2000000000000028</v>
          </cell>
          <cell r="AJ63">
            <v>3.2000000000000028</v>
          </cell>
          <cell r="AN63">
            <v>3.68</v>
          </cell>
          <cell r="AR63">
            <v>3.5</v>
          </cell>
          <cell r="AT63">
            <v>3.3</v>
          </cell>
          <cell r="AV63">
            <v>4194.6668351870585</v>
          </cell>
          <cell r="AX63">
            <v>23.5</v>
          </cell>
          <cell r="AZ63">
            <v>22</v>
          </cell>
          <cell r="BB63">
            <v>-13.311931243680485</v>
          </cell>
          <cell r="BF63">
            <v>53.690596562184027</v>
          </cell>
          <cell r="BH63">
            <v>42.350455005055622</v>
          </cell>
        </row>
        <row r="64">
          <cell r="AD64">
            <v>2.9000000000000021</v>
          </cell>
          <cell r="AJ64">
            <v>2.9000000000000021</v>
          </cell>
          <cell r="AN64">
            <v>3.84</v>
          </cell>
          <cell r="AR64">
            <v>3</v>
          </cell>
          <cell r="AT64">
            <v>2.9</v>
          </cell>
          <cell r="AV64">
            <v>2969.0600572655685</v>
          </cell>
          <cell r="AX64">
            <v>23</v>
          </cell>
          <cell r="AZ64">
            <v>22.3</v>
          </cell>
          <cell r="BB64">
            <v>-9.1602720114531131</v>
          </cell>
          <cell r="BF64">
            <v>37.938439513242663</v>
          </cell>
          <cell r="BH64">
            <v>29.978382247673586</v>
          </cell>
        </row>
        <row r="65">
          <cell r="AD65">
            <v>2.1999999999999993</v>
          </cell>
          <cell r="AJ65">
            <v>2.1999999999999993</v>
          </cell>
          <cell r="AN65">
            <v>2.5950000000000002</v>
          </cell>
          <cell r="AR65">
            <v>1.9</v>
          </cell>
          <cell r="AT65">
            <v>2.1</v>
          </cell>
          <cell r="AV65">
            <v>3688.6109137055832</v>
          </cell>
          <cell r="AX65">
            <v>16.899999999999999</v>
          </cell>
          <cell r="AZ65">
            <v>18.2</v>
          </cell>
          <cell r="BB65">
            <v>-6.5296954314720796</v>
          </cell>
          <cell r="BF65">
            <v>43.020304568527912</v>
          </cell>
          <cell r="BH65">
            <v>37.25101522842639</v>
          </cell>
        </row>
        <row r="66">
          <cell r="AD66">
            <v>0.59999999999999964</v>
          </cell>
          <cell r="AJ66">
            <v>0.59999999999999964</v>
          </cell>
          <cell r="AN66">
            <v>1.95</v>
          </cell>
          <cell r="AR66">
            <v>0.7</v>
          </cell>
          <cell r="AT66">
            <v>0.7</v>
          </cell>
          <cell r="AV66">
            <v>1433.444554455446</v>
          </cell>
          <cell r="AX66">
            <v>15.7</v>
          </cell>
          <cell r="AZ66">
            <v>15.5</v>
          </cell>
          <cell r="BB66">
            <v>-2.8702970297029715</v>
          </cell>
          <cell r="BF66">
            <v>17.227722772277232</v>
          </cell>
          <cell r="BH66">
            <v>14.478019801980203</v>
          </cell>
        </row>
        <row r="67">
          <cell r="AD67">
            <v>-1.5999999999999996</v>
          </cell>
          <cell r="AJ67">
            <v>-1.5999999999999996</v>
          </cell>
          <cell r="AN67">
            <v>1.575</v>
          </cell>
          <cell r="AR67">
            <v>-2.2999999999999998</v>
          </cell>
          <cell r="AT67">
            <v>-2.2999999999999998</v>
          </cell>
          <cell r="AV67">
            <v>3871.5698973042358</v>
          </cell>
          <cell r="AX67">
            <v>12.7</v>
          </cell>
          <cell r="AZ67">
            <v>12.7</v>
          </cell>
          <cell r="BB67">
            <v>-5.8446084724005125</v>
          </cell>
          <cell r="BF67">
            <v>46.020539152759945</v>
          </cell>
          <cell r="BH67">
            <v>39.117458279845948</v>
          </cell>
        </row>
        <row r="68">
          <cell r="AD68">
            <v>0.80000000000000071</v>
          </cell>
          <cell r="AJ68">
            <v>0.80000000000000071</v>
          </cell>
          <cell r="AN68">
            <v>4.2750000000000004</v>
          </cell>
          <cell r="AR68">
            <v>0.4</v>
          </cell>
          <cell r="AT68">
            <v>0.5</v>
          </cell>
          <cell r="AV68">
            <v>3272.5925680159262</v>
          </cell>
          <cell r="AX68">
            <v>15.4</v>
          </cell>
          <cell r="AZ68">
            <v>17.399999999999999</v>
          </cell>
          <cell r="BB68">
            <v>-4.5235567352355694</v>
          </cell>
          <cell r="BF68">
            <v>37.491705374917053</v>
          </cell>
          <cell r="BH68">
            <v>33.055607166556079</v>
          </cell>
        </row>
        <row r="69">
          <cell r="AD69">
            <v>0.30000000000000071</v>
          </cell>
          <cell r="AJ69">
            <v>0.30000000000000071</v>
          </cell>
          <cell r="AN69">
            <v>4.88</v>
          </cell>
          <cell r="AR69">
            <v>0.2</v>
          </cell>
          <cell r="AT69">
            <v>0.2</v>
          </cell>
          <cell r="AV69">
            <v>3420.458900928792</v>
          </cell>
          <cell r="AX69">
            <v>20.2</v>
          </cell>
          <cell r="AZ69">
            <v>21</v>
          </cell>
          <cell r="BB69">
            <v>-8.1640092879256958</v>
          </cell>
          <cell r="BF69">
            <v>42.68575851393188</v>
          </cell>
          <cell r="BH69">
            <v>34.549806501547984</v>
          </cell>
        </row>
        <row r="70">
          <cell r="AD70">
            <v>1.1000000000000014</v>
          </cell>
          <cell r="AJ70">
            <v>1.1000000000000014</v>
          </cell>
          <cell r="AN70">
            <v>0.97</v>
          </cell>
          <cell r="AR70">
            <v>1.1000000000000001</v>
          </cell>
          <cell r="AT70">
            <v>1.1000000000000001</v>
          </cell>
          <cell r="AV70">
            <v>4172.9035019455259</v>
          </cell>
          <cell r="AX70">
            <v>11.1</v>
          </cell>
          <cell r="AZ70">
            <v>11</v>
          </cell>
          <cell r="BB70">
            <v>-5.2575875486381323</v>
          </cell>
          <cell r="BF70">
            <v>46.887159533073927</v>
          </cell>
          <cell r="BH70">
            <v>42.145330739299617</v>
          </cell>
        </row>
        <row r="74">
          <cell r="AN74">
            <v>0</v>
          </cell>
          <cell r="AR74">
            <v>0</v>
          </cell>
          <cell r="AT74">
            <v>0</v>
          </cell>
          <cell r="AV74">
            <v>3605.25</v>
          </cell>
          <cell r="AX74">
            <v>0</v>
          </cell>
          <cell r="AZ74">
            <v>0</v>
          </cell>
          <cell r="BB74">
            <v>0</v>
          </cell>
          <cell r="BF74">
            <v>36.416666666666664</v>
          </cell>
          <cell r="BH74">
            <v>36.416666666666664</v>
          </cell>
        </row>
        <row r="75">
          <cell r="AN75">
            <v>0</v>
          </cell>
          <cell r="AR75">
            <v>0</v>
          </cell>
          <cell r="AT75">
            <v>0</v>
          </cell>
          <cell r="AV75">
            <v>4712.3999999999987</v>
          </cell>
          <cell r="AX75">
            <v>0</v>
          </cell>
          <cell r="AZ75">
            <v>0</v>
          </cell>
          <cell r="BB75">
            <v>0</v>
          </cell>
          <cell r="BF75">
            <v>47.599999999999994</v>
          </cell>
          <cell r="BH75">
            <v>47.599999999999994</v>
          </cell>
        </row>
        <row r="76">
          <cell r="AN76">
            <v>0</v>
          </cell>
          <cell r="AR76">
            <v>0</v>
          </cell>
          <cell r="AT76">
            <v>0</v>
          </cell>
          <cell r="AV76">
            <v>6527.4000000000005</v>
          </cell>
          <cell r="AX76">
            <v>0</v>
          </cell>
          <cell r="AZ76">
            <v>0</v>
          </cell>
          <cell r="BB76">
            <v>0</v>
          </cell>
          <cell r="BF76">
            <v>65.933333333333337</v>
          </cell>
          <cell r="BH76">
            <v>65.933333333333337</v>
          </cell>
        </row>
        <row r="77">
          <cell r="AN77">
            <v>0</v>
          </cell>
          <cell r="AR77">
            <v>0</v>
          </cell>
          <cell r="AT77">
            <v>0</v>
          </cell>
          <cell r="AV77">
            <v>4222.0588235294117</v>
          </cell>
          <cell r="AX77">
            <v>0</v>
          </cell>
          <cell r="AZ77">
            <v>0</v>
          </cell>
          <cell r="BB77">
            <v>0</v>
          </cell>
          <cell r="BF77">
            <v>42.647058823529413</v>
          </cell>
          <cell r="BH77">
            <v>42.647058823529413</v>
          </cell>
        </row>
        <row r="78">
          <cell r="AN78">
            <v>0</v>
          </cell>
          <cell r="AR78">
            <v>0</v>
          </cell>
          <cell r="AT78">
            <v>0</v>
          </cell>
          <cell r="AV78">
            <v>5311.0588235294117</v>
          </cell>
          <cell r="AX78">
            <v>0</v>
          </cell>
          <cell r="AZ78">
            <v>0</v>
          </cell>
          <cell r="BB78">
            <v>0</v>
          </cell>
          <cell r="BF78">
            <v>53.647058823529413</v>
          </cell>
          <cell r="BH78">
            <v>53.647058823529413</v>
          </cell>
        </row>
        <row r="79">
          <cell r="AN79">
            <v>0</v>
          </cell>
          <cell r="AR79">
            <v>0</v>
          </cell>
          <cell r="AT79">
            <v>0</v>
          </cell>
          <cell r="AV79">
            <v>3907.1999999999994</v>
          </cell>
          <cell r="AX79">
            <v>0</v>
          </cell>
          <cell r="AZ79">
            <v>0</v>
          </cell>
          <cell r="BB79">
            <v>0</v>
          </cell>
          <cell r="BF79">
            <v>39.466666666666661</v>
          </cell>
          <cell r="BH79">
            <v>39.466666666666661</v>
          </cell>
        </row>
        <row r="80">
          <cell r="AN80">
            <v>0</v>
          </cell>
          <cell r="AR80">
            <v>0</v>
          </cell>
          <cell r="AT80">
            <v>0</v>
          </cell>
          <cell r="AV80">
            <v>5598.45</v>
          </cell>
          <cell r="AX80">
            <v>0</v>
          </cell>
          <cell r="AZ80">
            <v>0</v>
          </cell>
          <cell r="BB80">
            <v>0</v>
          </cell>
          <cell r="BF80">
            <v>56.55</v>
          </cell>
          <cell r="BH80">
            <v>56.55</v>
          </cell>
        </row>
        <row r="85">
          <cell r="AD85">
            <v>0</v>
          </cell>
          <cell r="AJ85">
            <v>0</v>
          </cell>
        </row>
        <row r="88">
          <cell r="AD88">
            <v>42.599999999999994</v>
          </cell>
          <cell r="AJ88">
            <v>54.1</v>
          </cell>
          <cell r="AN88">
            <v>5.3</v>
          </cell>
          <cell r="AR88">
            <v>40.799999999999997</v>
          </cell>
          <cell r="AT88">
            <v>42.1</v>
          </cell>
          <cell r="AV88">
            <v>3139.0968587476582</v>
          </cell>
          <cell r="AX88">
            <v>20.8</v>
          </cell>
          <cell r="AZ88">
            <v>21.5</v>
          </cell>
          <cell r="BB88">
            <v>-4.9757853130850833</v>
          </cell>
          <cell r="BF88">
            <v>26.399001456209692</v>
          </cell>
          <cell r="BH88">
            <v>31.605200748907826</v>
          </cell>
        </row>
        <row r="95">
          <cell r="AD95">
            <v>0</v>
          </cell>
          <cell r="AJ95">
            <v>0</v>
          </cell>
          <cell r="AN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F95">
            <v>0</v>
          </cell>
          <cell r="BH95">
            <v>0</v>
          </cell>
        </row>
        <row r="96">
          <cell r="AD96">
            <v>0</v>
          </cell>
          <cell r="AJ96">
            <v>0</v>
          </cell>
          <cell r="AN96">
            <v>0</v>
          </cell>
          <cell r="AR96">
            <v>-5.0999999999999996</v>
          </cell>
          <cell r="AT96">
            <v>-4.5</v>
          </cell>
          <cell r="AV96">
            <v>4294.0547671049653</v>
          </cell>
          <cell r="AX96">
            <v>0</v>
          </cell>
          <cell r="AZ96">
            <v>0</v>
          </cell>
          <cell r="BB96">
            <v>0</v>
          </cell>
          <cell r="BF96">
            <v>40.869017632241814</v>
          </cell>
          <cell r="BH96">
            <v>43.349237847372066</v>
          </cell>
        </row>
        <row r="97">
          <cell r="AD97">
            <v>0</v>
          </cell>
          <cell r="AJ97">
            <v>0</v>
          </cell>
          <cell r="AN97">
            <v>0</v>
          </cell>
          <cell r="AR97">
            <v>-5</v>
          </cell>
          <cell r="AT97">
            <v>-4.5</v>
          </cell>
          <cell r="AV97">
            <v>4718.609175394965</v>
          </cell>
          <cell r="AX97">
            <v>0</v>
          </cell>
          <cell r="AZ97">
            <v>0</v>
          </cell>
          <cell r="BB97">
            <v>0</v>
          </cell>
          <cell r="BF97">
            <v>45.967741935483865</v>
          </cell>
          <cell r="BH97">
            <v>47.645769173304487</v>
          </cell>
        </row>
        <row r="98">
          <cell r="AD98">
            <v>0</v>
          </cell>
          <cell r="AJ98">
            <v>0</v>
          </cell>
          <cell r="AN98">
            <v>0</v>
          </cell>
          <cell r="AR98">
            <v>-5</v>
          </cell>
          <cell r="AT98">
            <v>-4.3</v>
          </cell>
          <cell r="AV98">
            <v>5189.606966155703</v>
          </cell>
          <cell r="AX98">
            <v>0</v>
          </cell>
          <cell r="AZ98">
            <v>0</v>
          </cell>
          <cell r="BB98">
            <v>0</v>
          </cell>
          <cell r="BF98">
            <v>50.026638252530631</v>
          </cell>
          <cell r="BH98">
            <v>52.396336044082339</v>
          </cell>
        </row>
        <row r="99">
          <cell r="AD99">
            <v>0</v>
          </cell>
          <cell r="AJ99">
            <v>0</v>
          </cell>
          <cell r="AN99">
            <v>0</v>
          </cell>
          <cell r="AR99">
            <v>-5</v>
          </cell>
          <cell r="AT99">
            <v>-4.4000000000000004</v>
          </cell>
          <cell r="AV99">
            <v>4431.4164978634326</v>
          </cell>
          <cell r="AX99">
            <v>0</v>
          </cell>
          <cell r="AZ99">
            <v>0</v>
          </cell>
          <cell r="BB99">
            <v>0</v>
          </cell>
          <cell r="BF99">
            <v>42.250922509225099</v>
          </cell>
          <cell r="BH99">
            <v>44.736674203726579</v>
          </cell>
        </row>
        <row r="100">
          <cell r="AD100">
            <v>0</v>
          </cell>
          <cell r="AJ100">
            <v>0</v>
          </cell>
          <cell r="AN100">
            <v>0</v>
          </cell>
          <cell r="AR100">
            <v>-5</v>
          </cell>
          <cell r="AT100">
            <v>-4.5</v>
          </cell>
          <cell r="AV100">
            <v>6090.9097783910238</v>
          </cell>
          <cell r="AX100">
            <v>0</v>
          </cell>
          <cell r="AZ100">
            <v>0</v>
          </cell>
          <cell r="BB100">
            <v>0</v>
          </cell>
          <cell r="BF100">
            <v>58.495575221238937</v>
          </cell>
          <cell r="BH100">
            <v>61.494053536122628</v>
          </cell>
        </row>
        <row r="104">
          <cell r="AD104">
            <v>0</v>
          </cell>
          <cell r="AJ104">
            <v>0</v>
          </cell>
          <cell r="AN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F104">
            <v>0</v>
          </cell>
          <cell r="BH104">
            <v>0</v>
          </cell>
        </row>
        <row r="105">
          <cell r="AD105">
            <v>0.2</v>
          </cell>
          <cell r="AJ105">
            <v>0.2</v>
          </cell>
          <cell r="AN105">
            <v>0.01</v>
          </cell>
          <cell r="AR105">
            <v>5</v>
          </cell>
          <cell r="AT105">
            <v>4.4000000000000004</v>
          </cell>
          <cell r="AV105">
            <v>4239.3020304568527</v>
          </cell>
          <cell r="AX105">
            <v>0</v>
          </cell>
          <cell r="AZ105">
            <v>0</v>
          </cell>
          <cell r="BB105">
            <v>0</v>
          </cell>
          <cell r="BF105">
            <v>40.418781725888323</v>
          </cell>
          <cell r="BH105">
            <v>42.79720812182741</v>
          </cell>
        </row>
        <row r="106">
          <cell r="AD106">
            <v>16.600000000000001</v>
          </cell>
          <cell r="AJ106">
            <v>16.600000000000001</v>
          </cell>
          <cell r="AN106">
            <v>0.78400000000000003</v>
          </cell>
          <cell r="AR106">
            <v>5.0999999999999996</v>
          </cell>
          <cell r="AT106">
            <v>6.3</v>
          </cell>
          <cell r="AV106">
            <v>4758.8748999428226</v>
          </cell>
          <cell r="AX106">
            <v>0.2</v>
          </cell>
          <cell r="AZ106">
            <v>0.2</v>
          </cell>
          <cell r="BB106">
            <v>-9.273870783304744E-2</v>
          </cell>
          <cell r="BF106">
            <v>46.369353916523714</v>
          </cell>
          <cell r="BH106">
            <v>48.051515151515133</v>
          </cell>
        </row>
        <row r="107">
          <cell r="AD107">
            <v>11.4</v>
          </cell>
          <cell r="AJ107">
            <v>11.4</v>
          </cell>
          <cell r="AN107">
            <v>0.5586000000000001</v>
          </cell>
          <cell r="AR107">
            <v>4.9000000000000004</v>
          </cell>
          <cell r="AT107">
            <v>5.9</v>
          </cell>
          <cell r="AV107">
            <v>5186.6049709148601</v>
          </cell>
          <cell r="AX107">
            <v>0</v>
          </cell>
          <cell r="AZ107">
            <v>0</v>
          </cell>
          <cell r="BB107">
            <v>0</v>
          </cell>
          <cell r="BF107">
            <v>50.396615547329461</v>
          </cell>
          <cell r="BH107">
            <v>52.370015864621891</v>
          </cell>
        </row>
        <row r="108">
          <cell r="AD108">
            <v>0.1</v>
          </cell>
          <cell r="AJ108">
            <v>0.1</v>
          </cell>
          <cell r="AN108">
            <v>4.9000000000000007E-3</v>
          </cell>
          <cell r="AR108">
            <v>4.9000000000000004</v>
          </cell>
          <cell r="AT108">
            <v>4.0999999999999996</v>
          </cell>
          <cell r="AV108">
            <v>4354.4077306733152</v>
          </cell>
          <cell r="AX108">
            <v>0</v>
          </cell>
          <cell r="AZ108">
            <v>0</v>
          </cell>
          <cell r="BB108">
            <v>0</v>
          </cell>
          <cell r="BF108">
            <v>41.458852867830423</v>
          </cell>
          <cell r="BH108">
            <v>43.958665835411459</v>
          </cell>
        </row>
        <row r="109">
          <cell r="AD109">
            <v>2.2000000000000002</v>
          </cell>
          <cell r="AJ109">
            <v>2.2000000000000002</v>
          </cell>
          <cell r="AN109">
            <v>0.10780000000000001</v>
          </cell>
          <cell r="AR109">
            <v>4.9000000000000004</v>
          </cell>
          <cell r="AT109">
            <v>4.5999999999999996</v>
          </cell>
          <cell r="AV109">
            <v>6090.1415929203531</v>
          </cell>
          <cell r="AX109">
            <v>0</v>
          </cell>
          <cell r="AZ109">
            <v>0</v>
          </cell>
          <cell r="BB109">
            <v>0</v>
          </cell>
          <cell r="BF109">
            <v>58.495575221238937</v>
          </cell>
          <cell r="BH109">
            <v>61.486371681415918</v>
          </cell>
        </row>
        <row r="113">
          <cell r="AD113">
            <v>0</v>
          </cell>
          <cell r="AJ113">
            <v>0</v>
          </cell>
          <cell r="AN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F113">
            <v>0</v>
          </cell>
          <cell r="BH113">
            <v>0</v>
          </cell>
        </row>
        <row r="114">
          <cell r="AD114">
            <v>0.2</v>
          </cell>
          <cell r="AJ114">
            <v>0.2</v>
          </cell>
          <cell r="AN114">
            <v>1.06E-2</v>
          </cell>
          <cell r="AR114">
            <v>5.3</v>
          </cell>
          <cell r="AT114">
            <v>4.7</v>
          </cell>
          <cell r="AV114">
            <v>4347.9075577763906</v>
          </cell>
          <cell r="AX114">
            <v>0</v>
          </cell>
          <cell r="AZ114">
            <v>0</v>
          </cell>
          <cell r="BB114">
            <v>0</v>
          </cell>
          <cell r="BF114">
            <v>41.349156777014372</v>
          </cell>
          <cell r="BH114">
            <v>43.892567145534045</v>
          </cell>
        </row>
        <row r="115">
          <cell r="AD115">
            <v>16</v>
          </cell>
          <cell r="AJ115">
            <v>16</v>
          </cell>
          <cell r="AN115">
            <v>0.80079999999999996</v>
          </cell>
          <cell r="AR115">
            <v>5.4</v>
          </cell>
          <cell r="AT115">
            <v>6.5</v>
          </cell>
          <cell r="AV115">
            <v>4681.4549042367971</v>
          </cell>
          <cell r="AX115">
            <v>0.2</v>
          </cell>
          <cell r="AZ115">
            <v>0.2</v>
          </cell>
          <cell r="BB115">
            <v>-9.1004062681369707E-2</v>
          </cell>
          <cell r="BF115">
            <v>45.502031340684844</v>
          </cell>
          <cell r="BH115">
            <v>47.268659315148007</v>
          </cell>
        </row>
        <row r="116">
          <cell r="AD116">
            <v>0</v>
          </cell>
          <cell r="AJ116">
            <v>0</v>
          </cell>
          <cell r="AN116">
            <v>0</v>
          </cell>
          <cell r="AR116">
            <v>-5.2</v>
          </cell>
          <cell r="AT116">
            <v>-4.5999999999999996</v>
          </cell>
          <cell r="AV116">
            <v>5198.2482536270827</v>
          </cell>
          <cell r="AX116">
            <v>0</v>
          </cell>
          <cell r="AZ116">
            <v>0</v>
          </cell>
          <cell r="BB116">
            <v>0</v>
          </cell>
          <cell r="BF116">
            <v>49.596990865126266</v>
          </cell>
          <cell r="BH116">
            <v>52.478452444922084</v>
          </cell>
        </row>
        <row r="117">
          <cell r="AD117">
            <v>0</v>
          </cell>
          <cell r="AJ117">
            <v>0</v>
          </cell>
          <cell r="AN117">
            <v>0</v>
          </cell>
          <cell r="AR117">
            <v>-5.2</v>
          </cell>
          <cell r="AT117">
            <v>-4.7</v>
          </cell>
          <cell r="AV117">
            <v>4512.8363636363638</v>
          </cell>
          <cell r="AX117">
            <v>0</v>
          </cell>
          <cell r="AZ117">
            <v>0</v>
          </cell>
          <cell r="BB117">
            <v>0</v>
          </cell>
          <cell r="BF117">
            <v>43.090909090909093</v>
          </cell>
          <cell r="BH117">
            <v>45.559272727272727</v>
          </cell>
        </row>
        <row r="118">
          <cell r="AD118">
            <v>5.8</v>
          </cell>
          <cell r="AJ118">
            <v>5.8</v>
          </cell>
          <cell r="AN118">
            <v>0.30159999999999998</v>
          </cell>
          <cell r="AR118">
            <v>5.2</v>
          </cell>
          <cell r="AT118">
            <v>5.3</v>
          </cell>
          <cell r="AV118">
            <v>6089.1722000885347</v>
          </cell>
          <cell r="AX118">
            <v>0</v>
          </cell>
          <cell r="AZ118">
            <v>0</v>
          </cell>
          <cell r="BB118">
            <v>0</v>
          </cell>
          <cell r="BF118">
            <v>58.477202301903496</v>
          </cell>
          <cell r="BH118">
            <v>61.47649402390438</v>
          </cell>
        </row>
        <row r="122">
          <cell r="AD122">
            <v>0</v>
          </cell>
          <cell r="AJ122">
            <v>0</v>
          </cell>
          <cell r="AN122">
            <v>0</v>
          </cell>
          <cell r="AR122">
            <v>0</v>
          </cell>
          <cell r="AT122">
            <v>0</v>
          </cell>
          <cell r="AV122">
            <v>3002.8272251308895</v>
          </cell>
          <cell r="AX122">
            <v>0</v>
          </cell>
          <cell r="AZ122">
            <v>0</v>
          </cell>
          <cell r="BB122">
            <v>0</v>
          </cell>
          <cell r="BF122">
            <v>30.331588132635247</v>
          </cell>
          <cell r="BH122">
            <v>30.331588132635247</v>
          </cell>
        </row>
        <row r="123">
          <cell r="AD123">
            <v>0</v>
          </cell>
          <cell r="AJ123">
            <v>0</v>
          </cell>
          <cell r="AN123">
            <v>0</v>
          </cell>
          <cell r="AR123">
            <v>-14.3</v>
          </cell>
          <cell r="AT123">
            <v>-14.1</v>
          </cell>
          <cell r="AV123">
            <v>6225.0922175352644</v>
          </cell>
          <cell r="AX123">
            <v>0</v>
          </cell>
          <cell r="AZ123">
            <v>0</v>
          </cell>
          <cell r="BB123">
            <v>0</v>
          </cell>
          <cell r="BF123">
            <v>55.008096229470269</v>
          </cell>
          <cell r="BH123">
            <v>62.801003137647349</v>
          </cell>
        </row>
        <row r="124">
          <cell r="AD124">
            <v>0</v>
          </cell>
          <cell r="AJ124">
            <v>0</v>
          </cell>
          <cell r="AN124">
            <v>0</v>
          </cell>
          <cell r="AR124">
            <v>-6</v>
          </cell>
          <cell r="AT124">
            <v>-5.3</v>
          </cell>
          <cell r="AV124">
            <v>5468.5447200550689</v>
          </cell>
          <cell r="AX124">
            <v>0</v>
          </cell>
          <cell r="AZ124">
            <v>0</v>
          </cell>
          <cell r="BB124">
            <v>0</v>
          </cell>
          <cell r="BF124">
            <v>52.280516741365666</v>
          </cell>
          <cell r="BH124">
            <v>55.208252367964342</v>
          </cell>
        </row>
        <row r="125">
          <cell r="AD125">
            <v>0</v>
          </cell>
          <cell r="AJ125">
            <v>0</v>
          </cell>
          <cell r="AN125">
            <v>0</v>
          </cell>
          <cell r="AR125">
            <v>-3.5</v>
          </cell>
          <cell r="AT125">
            <v>-2.9</v>
          </cell>
          <cell r="AV125">
            <v>4887.0320735448158</v>
          </cell>
          <cell r="AX125">
            <v>0</v>
          </cell>
          <cell r="AZ125">
            <v>0</v>
          </cell>
          <cell r="BB125">
            <v>0</v>
          </cell>
          <cell r="BF125">
            <v>47.983635300993569</v>
          </cell>
          <cell r="BH125">
            <v>49.35015708845809</v>
          </cell>
        </row>
        <row r="126">
          <cell r="AD126">
            <v>0</v>
          </cell>
          <cell r="AJ126">
            <v>0</v>
          </cell>
          <cell r="AN126">
            <v>0</v>
          </cell>
          <cell r="AR126">
            <v>-7.2</v>
          </cell>
          <cell r="AT126">
            <v>-7.1</v>
          </cell>
          <cell r="AV126">
            <v>6675.6073634767317</v>
          </cell>
          <cell r="AX126">
            <v>0</v>
          </cell>
          <cell r="AZ126">
            <v>0</v>
          </cell>
          <cell r="BB126">
            <v>0</v>
          </cell>
          <cell r="BF126">
            <v>62.881562881562878</v>
          </cell>
          <cell r="BH126">
            <v>67.384889263582949</v>
          </cell>
        </row>
        <row r="127">
          <cell r="AD127">
            <v>0</v>
          </cell>
          <cell r="AJ127">
            <v>0</v>
          </cell>
          <cell r="AN127">
            <v>0</v>
          </cell>
          <cell r="AR127">
            <v>-9.6</v>
          </cell>
          <cell r="AT127">
            <v>-9.3000000000000007</v>
          </cell>
          <cell r="AV127">
            <v>5649.3338990437942</v>
          </cell>
          <cell r="AX127">
            <v>0</v>
          </cell>
          <cell r="AZ127">
            <v>0</v>
          </cell>
          <cell r="BB127">
            <v>0</v>
          </cell>
          <cell r="BF127">
            <v>52.44598957039981</v>
          </cell>
          <cell r="BH127">
            <v>57.017798886141932</v>
          </cell>
        </row>
        <row r="131">
          <cell r="AD131">
            <v>0</v>
          </cell>
          <cell r="AJ131">
            <v>0</v>
          </cell>
          <cell r="AN131">
            <v>0</v>
          </cell>
          <cell r="AR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F131">
            <v>0</v>
          </cell>
          <cell r="BH131">
            <v>0</v>
          </cell>
        </row>
        <row r="132">
          <cell r="AD132">
            <v>0.1</v>
          </cell>
          <cell r="AJ132">
            <v>0.1</v>
          </cell>
          <cell r="AN132">
            <v>3.3000000000000008E-3</v>
          </cell>
          <cell r="AR132">
            <v>3.3</v>
          </cell>
          <cell r="AT132">
            <v>3.2</v>
          </cell>
          <cell r="AV132">
            <v>6767.7981241625721</v>
          </cell>
          <cell r="AX132">
            <v>0</v>
          </cell>
          <cell r="AZ132">
            <v>0</v>
          </cell>
          <cell r="BB132">
            <v>0</v>
          </cell>
          <cell r="BF132">
            <v>66.123269316659218</v>
          </cell>
          <cell r="BH132">
            <v>68.339213934792312</v>
          </cell>
        </row>
        <row r="133">
          <cell r="AD133">
            <v>2.9</v>
          </cell>
          <cell r="AJ133">
            <v>2.9</v>
          </cell>
          <cell r="AN133">
            <v>8.9900000000000008E-2</v>
          </cell>
          <cell r="AR133">
            <v>3.1</v>
          </cell>
          <cell r="AT133">
            <v>3.1</v>
          </cell>
          <cell r="AV133">
            <v>5872.2502099076401</v>
          </cell>
          <cell r="AX133">
            <v>0</v>
          </cell>
          <cell r="AZ133">
            <v>0</v>
          </cell>
          <cell r="BB133">
            <v>0</v>
          </cell>
          <cell r="BF133">
            <v>57.51469353484466</v>
          </cell>
          <cell r="BH133">
            <v>59.29764903442485</v>
          </cell>
        </row>
        <row r="134">
          <cell r="AD134">
            <v>0.3</v>
          </cell>
          <cell r="AJ134">
            <v>0.3</v>
          </cell>
          <cell r="AN134">
            <v>9.2999999999999992E-3</v>
          </cell>
          <cell r="AR134">
            <v>3.1</v>
          </cell>
          <cell r="AT134">
            <v>2.9</v>
          </cell>
          <cell r="AV134">
            <v>5512.6358943212863</v>
          </cell>
          <cell r="AX134">
            <v>0</v>
          </cell>
          <cell r="AZ134">
            <v>0</v>
          </cell>
          <cell r="BB134">
            <v>0</v>
          </cell>
          <cell r="BF134">
            <v>53.902216823565141</v>
          </cell>
          <cell r="BH134">
            <v>55.665381111448518</v>
          </cell>
        </row>
        <row r="135">
          <cell r="AD135">
            <v>0</v>
          </cell>
          <cell r="AJ135">
            <v>0</v>
          </cell>
          <cell r="AN135">
            <v>0</v>
          </cell>
          <cell r="AR135">
            <v>-3.1</v>
          </cell>
          <cell r="AT135">
            <v>-3.1</v>
          </cell>
          <cell r="AV135">
            <v>6940.9898691430981</v>
          </cell>
          <cell r="AX135">
            <v>0</v>
          </cell>
          <cell r="AZ135">
            <v>0</v>
          </cell>
          <cell r="BB135">
            <v>0</v>
          </cell>
          <cell r="BF135">
            <v>67.982271000422116</v>
          </cell>
          <cell r="BH135">
            <v>70.089721401435199</v>
          </cell>
        </row>
        <row r="136">
          <cell r="AD136">
            <v>1.4</v>
          </cell>
          <cell r="AJ136">
            <v>1.4</v>
          </cell>
          <cell r="AN136">
            <v>4.3400000000000001E-2</v>
          </cell>
          <cell r="AR136">
            <v>3.1</v>
          </cell>
          <cell r="AT136">
            <v>3</v>
          </cell>
          <cell r="AV136">
            <v>7062.4410089503654</v>
          </cell>
          <cell r="AX136">
            <v>0</v>
          </cell>
          <cell r="AZ136">
            <v>0</v>
          </cell>
          <cell r="BB136">
            <v>0</v>
          </cell>
          <cell r="BF136">
            <v>69.141578519121239</v>
          </cell>
          <cell r="BH136">
            <v>71.315825874694866</v>
          </cell>
        </row>
        <row r="140">
          <cell r="AD140">
            <v>0</v>
          </cell>
          <cell r="AJ140">
            <v>0</v>
          </cell>
          <cell r="AN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F140">
            <v>0</v>
          </cell>
          <cell r="BH140">
            <v>0</v>
          </cell>
        </row>
        <row r="141">
          <cell r="AD141">
            <v>10.5</v>
          </cell>
          <cell r="AJ141">
            <v>10.5</v>
          </cell>
          <cell r="AN141">
            <v>0.35700000000000004</v>
          </cell>
          <cell r="AR141">
            <v>3.4</v>
          </cell>
          <cell r="AT141">
            <v>3.9</v>
          </cell>
          <cell r="AV141">
            <v>5199.8968312453953</v>
          </cell>
          <cell r="AX141">
            <v>0</v>
          </cell>
          <cell r="AZ141">
            <v>0</v>
          </cell>
          <cell r="BB141">
            <v>0</v>
          </cell>
          <cell r="BF141">
            <v>51.01940555146156</v>
          </cell>
          <cell r="BH141">
            <v>52.509162367968564</v>
          </cell>
        </row>
        <row r="142">
          <cell r="AD142">
            <v>15.3</v>
          </cell>
          <cell r="AJ142">
            <v>15.3</v>
          </cell>
          <cell r="AN142">
            <v>0.29759999999999998</v>
          </cell>
          <cell r="AR142">
            <v>4.9000000000000004</v>
          </cell>
          <cell r="AT142">
            <v>7</v>
          </cell>
          <cell r="AV142">
            <v>4731.4581673306766</v>
          </cell>
          <cell r="AX142">
            <v>1.8</v>
          </cell>
          <cell r="AZ142">
            <v>2.6</v>
          </cell>
          <cell r="BB142">
            <v>-0.42231075697211162</v>
          </cell>
          <cell r="BF142">
            <v>47.011952191235061</v>
          </cell>
          <cell r="BH142">
            <v>47.780478087649392</v>
          </cell>
        </row>
        <row r="143">
          <cell r="AD143">
            <v>5.9</v>
          </cell>
          <cell r="AJ143">
            <v>5.9</v>
          </cell>
          <cell r="AN143">
            <v>0.18290000000000003</v>
          </cell>
          <cell r="AR143">
            <v>3.1</v>
          </cell>
          <cell r="AT143">
            <v>3.7</v>
          </cell>
          <cell r="AV143">
            <v>4374.4403303902027</v>
          </cell>
          <cell r="AX143">
            <v>0</v>
          </cell>
          <cell r="AZ143">
            <v>0</v>
          </cell>
          <cell r="BB143">
            <v>0</v>
          </cell>
          <cell r="BF143">
            <v>43.178581600683565</v>
          </cell>
          <cell r="BH143">
            <v>44.176189119908862</v>
          </cell>
        </row>
        <row r="144">
          <cell r="AD144">
            <v>4.4000000000000004</v>
          </cell>
          <cell r="AJ144">
            <v>4.4000000000000004</v>
          </cell>
          <cell r="AN144">
            <v>0.13640000000000002</v>
          </cell>
          <cell r="AR144">
            <v>3.1</v>
          </cell>
          <cell r="AT144">
            <v>3.1</v>
          </cell>
          <cell r="AV144">
            <v>5939.5844700944381</v>
          </cell>
          <cell r="AX144">
            <v>0</v>
          </cell>
          <cell r="AZ144">
            <v>0</v>
          </cell>
          <cell r="BB144">
            <v>0</v>
          </cell>
          <cell r="BF144">
            <v>58.174186778593921</v>
          </cell>
          <cell r="BH144">
            <v>59.977586568730324</v>
          </cell>
        </row>
        <row r="145">
          <cell r="AD145">
            <v>84.8</v>
          </cell>
          <cell r="AJ145">
            <v>84.8</v>
          </cell>
          <cell r="AN145">
            <v>2.6288</v>
          </cell>
          <cell r="AR145">
            <v>3.1</v>
          </cell>
          <cell r="AT145">
            <v>6.6</v>
          </cell>
          <cell r="AV145">
            <v>4461.7871759890841</v>
          </cell>
          <cell r="AX145">
            <v>0</v>
          </cell>
          <cell r="AZ145">
            <v>0</v>
          </cell>
          <cell r="BB145">
            <v>0</v>
          </cell>
          <cell r="BF145">
            <v>45.566166439290591</v>
          </cell>
          <cell r="BH145">
            <v>45.073533424283752</v>
          </cell>
        </row>
        <row r="149">
          <cell r="AD149">
            <v>0</v>
          </cell>
          <cell r="AJ149">
            <v>0</v>
          </cell>
          <cell r="AN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0</v>
          </cell>
          <cell r="BF149">
            <v>0</v>
          </cell>
          <cell r="BH149">
            <v>0</v>
          </cell>
        </row>
        <row r="150">
          <cell r="AD150">
            <v>0</v>
          </cell>
          <cell r="AJ150">
            <v>0</v>
          </cell>
          <cell r="AN150">
            <v>0</v>
          </cell>
          <cell r="AR150">
            <v>-10.7</v>
          </cell>
          <cell r="AT150">
            <v>-10.7</v>
          </cell>
          <cell r="AV150">
            <v>5243.9010989010976</v>
          </cell>
          <cell r="AX150">
            <v>0</v>
          </cell>
          <cell r="AZ150">
            <v>0</v>
          </cell>
          <cell r="BB150">
            <v>0</v>
          </cell>
          <cell r="BF150">
            <v>47.802197802197796</v>
          </cell>
          <cell r="BH150">
            <v>52.917032967032959</v>
          </cell>
        </row>
        <row r="151">
          <cell r="AD151">
            <v>2.6999999999999997</v>
          </cell>
          <cell r="AJ151">
            <v>2.6999999999999997</v>
          </cell>
          <cell r="AN151">
            <v>0.29119999999999996</v>
          </cell>
          <cell r="AR151">
            <v>10</v>
          </cell>
          <cell r="AT151">
            <v>9.1999999999999993</v>
          </cell>
          <cell r="AV151">
            <v>5901.383325570564</v>
          </cell>
          <cell r="AX151">
            <v>-0.4</v>
          </cell>
          <cell r="AZ151">
            <v>-0.4</v>
          </cell>
          <cell r="BB151">
            <v>0.21425244527247322</v>
          </cell>
          <cell r="BF151">
            <v>53.563111318118303</v>
          </cell>
          <cell r="BH151">
            <v>59.551606893339546</v>
          </cell>
        </row>
        <row r="152">
          <cell r="AD152">
            <v>0</v>
          </cell>
          <cell r="AJ152">
            <v>0</v>
          </cell>
          <cell r="AN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0</v>
          </cell>
          <cell r="BF152">
            <v>0</v>
          </cell>
          <cell r="BH152">
            <v>0</v>
          </cell>
        </row>
        <row r="153">
          <cell r="AD153">
            <v>0.3</v>
          </cell>
          <cell r="AJ153">
            <v>0.3</v>
          </cell>
          <cell r="AN153">
            <v>3.1200000000000002E-2</v>
          </cell>
          <cell r="AR153">
            <v>10.4</v>
          </cell>
          <cell r="AT153">
            <v>10.4</v>
          </cell>
          <cell r="AV153">
            <v>6839.815616180621</v>
          </cell>
          <cell r="AX153">
            <v>0</v>
          </cell>
          <cell r="AZ153">
            <v>0</v>
          </cell>
          <cell r="BB153">
            <v>0</v>
          </cell>
          <cell r="BF153">
            <v>62.521166509877702</v>
          </cell>
          <cell r="BH153">
            <v>69.023367826904988</v>
          </cell>
        </row>
        <row r="154">
          <cell r="AD154">
            <v>0</v>
          </cell>
          <cell r="AJ154">
            <v>0</v>
          </cell>
          <cell r="AN154">
            <v>0</v>
          </cell>
          <cell r="AR154">
            <v>-10.4</v>
          </cell>
          <cell r="AT154">
            <v>-10.4</v>
          </cell>
          <cell r="AV154">
            <v>3854.9123945489937</v>
          </cell>
          <cell r="AX154">
            <v>0</v>
          </cell>
          <cell r="AZ154">
            <v>0</v>
          </cell>
          <cell r="BB154">
            <v>0</v>
          </cell>
          <cell r="BF154">
            <v>35.236859182349122</v>
          </cell>
          <cell r="BH154">
            <v>38.90149253731343</v>
          </cell>
        </row>
        <row r="158">
          <cell r="AD158">
            <v>0</v>
          </cell>
          <cell r="AJ158">
            <v>0</v>
          </cell>
          <cell r="AN158">
            <v>0</v>
          </cell>
          <cell r="AR158">
            <v>0</v>
          </cell>
          <cell r="AT158">
            <v>0</v>
          </cell>
          <cell r="AV158">
            <v>3002.8272251308895</v>
          </cell>
          <cell r="AX158">
            <v>0</v>
          </cell>
          <cell r="AZ158">
            <v>0</v>
          </cell>
          <cell r="BB158">
            <v>0</v>
          </cell>
          <cell r="BF158">
            <v>30.331588132635247</v>
          </cell>
          <cell r="BH158">
            <v>30.331588132635247</v>
          </cell>
        </row>
        <row r="159">
          <cell r="AD159">
            <v>67.2</v>
          </cell>
          <cell r="AJ159">
            <v>67.2</v>
          </cell>
          <cell r="AN159">
            <v>11.844799999999998</v>
          </cell>
          <cell r="AR159">
            <v>17.600000000000001</v>
          </cell>
          <cell r="AT159">
            <v>17.899999999999999</v>
          </cell>
          <cell r="AV159">
            <v>6316.1531407611174</v>
          </cell>
          <cell r="AX159">
            <v>0</v>
          </cell>
          <cell r="AZ159">
            <v>0</v>
          </cell>
          <cell r="BB159">
            <v>0</v>
          </cell>
          <cell r="BF159">
            <v>54.28702430077945</v>
          </cell>
          <cell r="BH159">
            <v>63.704401650618969</v>
          </cell>
        </row>
        <row r="160">
          <cell r="AD160">
            <v>410.40000000000003</v>
          </cell>
          <cell r="AJ160">
            <v>410.40000000000003</v>
          </cell>
          <cell r="AN160">
            <v>71.379799999999989</v>
          </cell>
          <cell r="AR160">
            <v>17.2</v>
          </cell>
          <cell r="AT160">
            <v>21.1</v>
          </cell>
          <cell r="AV160">
            <v>5491.8819693094629</v>
          </cell>
          <cell r="AX160">
            <v>-0.1</v>
          </cell>
          <cell r="AZ160">
            <v>-0.1</v>
          </cell>
          <cell r="BB160">
            <v>4.8976982097186705E-2</v>
          </cell>
          <cell r="BF160">
            <v>48.976982097186706</v>
          </cell>
          <cell r="BH160">
            <v>55.409079283887472</v>
          </cell>
        </row>
        <row r="161">
          <cell r="AD161">
            <v>1374.6999999999998</v>
          </cell>
          <cell r="AJ161">
            <v>1374.6999999999998</v>
          </cell>
          <cell r="AN161">
            <v>237.97879999999995</v>
          </cell>
          <cell r="AR161">
            <v>17.3</v>
          </cell>
          <cell r="AT161">
            <v>31.9</v>
          </cell>
          <cell r="AV161">
            <v>4899.5081122843176</v>
          </cell>
          <cell r="AX161">
            <v>0</v>
          </cell>
          <cell r="AZ161">
            <v>0</v>
          </cell>
          <cell r="BB161">
            <v>0</v>
          </cell>
          <cell r="BF161">
            <v>48.622199330414631</v>
          </cell>
          <cell r="BH161">
            <v>49.481303116147316</v>
          </cell>
        </row>
        <row r="162">
          <cell r="AD162">
            <v>295.5</v>
          </cell>
          <cell r="AJ162">
            <v>295.5</v>
          </cell>
          <cell r="AN162">
            <v>49.789399999999993</v>
          </cell>
          <cell r="AR162">
            <v>17.8</v>
          </cell>
          <cell r="AT162">
            <v>18.100000000000001</v>
          </cell>
          <cell r="AV162">
            <v>7239.6274102079406</v>
          </cell>
          <cell r="AX162">
            <v>0.5</v>
          </cell>
          <cell r="AZ162">
            <v>0.5</v>
          </cell>
          <cell r="BB162">
            <v>-0.31172022684310019</v>
          </cell>
          <cell r="BF162">
            <v>62.344045368620037</v>
          </cell>
          <cell r="BH162">
            <v>73.016597353497176</v>
          </cell>
        </row>
        <row r="163">
          <cell r="AD163">
            <v>10.1</v>
          </cell>
          <cell r="AJ163">
            <v>10.1</v>
          </cell>
          <cell r="AN163">
            <v>1.7472999999999996</v>
          </cell>
          <cell r="AR163">
            <v>17.3</v>
          </cell>
          <cell r="AT163">
            <v>17.2</v>
          </cell>
          <cell r="AV163">
            <v>6008.8743328481323</v>
          </cell>
          <cell r="AX163">
            <v>0</v>
          </cell>
          <cell r="AZ163">
            <v>0</v>
          </cell>
          <cell r="BB163">
            <v>0</v>
          </cell>
          <cell r="BF163">
            <v>51.625424551188736</v>
          </cell>
          <cell r="BH163">
            <v>60.604997573993217</v>
          </cell>
        </row>
        <row r="167">
          <cell r="AD167">
            <v>0</v>
          </cell>
          <cell r="AJ167">
            <v>0</v>
          </cell>
          <cell r="AN167">
            <v>0</v>
          </cell>
          <cell r="AR167">
            <v>0</v>
          </cell>
          <cell r="AT167">
            <v>0</v>
          </cell>
          <cell r="AV167">
            <v>923.62152624614134</v>
          </cell>
          <cell r="AX167">
            <v>0</v>
          </cell>
          <cell r="AZ167">
            <v>0</v>
          </cell>
          <cell r="BB167">
            <v>0</v>
          </cell>
          <cell r="BF167">
            <v>9.3295103661226406</v>
          </cell>
          <cell r="BH167">
            <v>9.3295103661226406</v>
          </cell>
        </row>
        <row r="168">
          <cell r="AD168">
            <v>0</v>
          </cell>
          <cell r="AJ168">
            <v>0</v>
          </cell>
          <cell r="AN168">
            <v>0</v>
          </cell>
          <cell r="AR168">
            <v>-30.4</v>
          </cell>
          <cell r="AT168">
            <v>-28.1</v>
          </cell>
          <cell r="AV168">
            <v>3183.3282519731242</v>
          </cell>
          <cell r="AX168">
            <v>0</v>
          </cell>
          <cell r="AZ168">
            <v>0</v>
          </cell>
          <cell r="BB168">
            <v>0</v>
          </cell>
          <cell r="BF168">
            <v>29.126213592232997</v>
          </cell>
          <cell r="BH168">
            <v>32.124544655653573</v>
          </cell>
        </row>
        <row r="169">
          <cell r="AD169">
            <v>0</v>
          </cell>
          <cell r="AJ169">
            <v>0</v>
          </cell>
          <cell r="AN169">
            <v>0</v>
          </cell>
          <cell r="AR169">
            <v>-10.3</v>
          </cell>
          <cell r="AT169">
            <v>-9.3000000000000007</v>
          </cell>
          <cell r="AV169">
            <v>4248.5759071922048</v>
          </cell>
          <cell r="AX169">
            <v>0</v>
          </cell>
          <cell r="AZ169">
            <v>0</v>
          </cell>
          <cell r="BB169">
            <v>0</v>
          </cell>
          <cell r="BF169">
            <v>44.787260512565311</v>
          </cell>
          <cell r="BH169">
            <v>42.9336316770477</v>
          </cell>
        </row>
        <row r="170">
          <cell r="AD170">
            <v>0</v>
          </cell>
          <cell r="AJ170">
            <v>0</v>
          </cell>
          <cell r="AN170">
            <v>0</v>
          </cell>
          <cell r="AR170">
            <v>-9.3000000000000007</v>
          </cell>
          <cell r="AT170">
            <v>-8.4</v>
          </cell>
          <cell r="AV170">
            <v>4196.7385449757194</v>
          </cell>
          <cell r="AX170">
            <v>0</v>
          </cell>
          <cell r="AZ170">
            <v>0</v>
          </cell>
          <cell r="BB170">
            <v>0</v>
          </cell>
          <cell r="BF170">
            <v>42.236220472440941</v>
          </cell>
          <cell r="BH170">
            <v>42.38974765448161</v>
          </cell>
        </row>
        <row r="171">
          <cell r="AD171">
            <v>0</v>
          </cell>
          <cell r="AJ171">
            <v>0</v>
          </cell>
          <cell r="AN171">
            <v>0</v>
          </cell>
          <cell r="AR171">
            <v>-14</v>
          </cell>
          <cell r="AT171">
            <v>-9.8000000000000007</v>
          </cell>
          <cell r="AV171">
            <v>4108.63873953862</v>
          </cell>
          <cell r="AX171">
            <v>0</v>
          </cell>
          <cell r="AZ171">
            <v>0</v>
          </cell>
          <cell r="BB171">
            <v>0</v>
          </cell>
          <cell r="BF171">
            <v>34.725663716814161</v>
          </cell>
          <cell r="BH171">
            <v>41.433644032554341</v>
          </cell>
        </row>
        <row r="172">
          <cell r="AD172">
            <v>0</v>
          </cell>
          <cell r="AJ172">
            <v>0</v>
          </cell>
          <cell r="AN172">
            <v>0</v>
          </cell>
          <cell r="AR172">
            <v>-32.200000000000003</v>
          </cell>
          <cell r="AT172">
            <v>-30.1</v>
          </cell>
          <cell r="AV172">
            <v>2252.0072680000176</v>
          </cell>
          <cell r="AX172">
            <v>0</v>
          </cell>
          <cell r="AZ172">
            <v>0</v>
          </cell>
          <cell r="BB172">
            <v>0</v>
          </cell>
          <cell r="BF172">
            <v>15.88455606961886</v>
          </cell>
          <cell r="BH172">
            <v>22.678918240696365</v>
          </cell>
        </row>
        <row r="176">
          <cell r="AD176">
            <v>0</v>
          </cell>
          <cell r="AJ176">
            <v>0</v>
          </cell>
          <cell r="AN176">
            <v>0</v>
          </cell>
          <cell r="AR176">
            <v>0</v>
          </cell>
          <cell r="AT176">
            <v>0</v>
          </cell>
          <cell r="AV176">
            <v>0</v>
          </cell>
          <cell r="AX176">
            <v>0</v>
          </cell>
          <cell r="AZ176">
            <v>0</v>
          </cell>
          <cell r="BB176">
            <v>0</v>
          </cell>
          <cell r="BF176">
            <v>0</v>
          </cell>
          <cell r="BH176">
            <v>0</v>
          </cell>
        </row>
        <row r="177">
          <cell r="AD177">
            <v>18.2</v>
          </cell>
          <cell r="AJ177">
            <v>18.2</v>
          </cell>
          <cell r="AN177">
            <v>1.6743999999999997</v>
          </cell>
          <cell r="AR177">
            <v>9.1999999999999993</v>
          </cell>
          <cell r="AT177">
            <v>11.4</v>
          </cell>
          <cell r="AV177">
            <v>4361.8181818181829</v>
          </cell>
          <cell r="AX177">
            <v>0</v>
          </cell>
          <cell r="AZ177">
            <v>0</v>
          </cell>
          <cell r="BB177">
            <v>0</v>
          </cell>
          <cell r="BF177">
            <v>41.501976284584984</v>
          </cell>
          <cell r="BH177">
            <v>44.033201581027683</v>
          </cell>
        </row>
        <row r="178">
          <cell r="AD178">
            <v>34.1</v>
          </cell>
          <cell r="AJ178">
            <v>34.1</v>
          </cell>
          <cell r="AN178">
            <v>-0.36399999999999999</v>
          </cell>
          <cell r="AR178">
            <v>-9.1</v>
          </cell>
          <cell r="AT178">
            <v>-3.7</v>
          </cell>
          <cell r="AV178">
            <v>5366.8069101678184</v>
          </cell>
          <cell r="AX178">
            <v>0</v>
          </cell>
          <cell r="AZ178">
            <v>4.7</v>
          </cell>
          <cell r="BB178">
            <v>2.4033563672260612</v>
          </cell>
          <cell r="BF178">
            <v>48.864758144126363</v>
          </cell>
          <cell r="BH178">
            <v>54.18075024679171</v>
          </cell>
        </row>
        <row r="179">
          <cell r="AD179">
            <v>83.8</v>
          </cell>
          <cell r="AJ179">
            <v>83.8</v>
          </cell>
          <cell r="AN179">
            <v>7.625799999999999</v>
          </cell>
          <cell r="AR179">
            <v>9.1</v>
          </cell>
          <cell r="AT179">
            <v>16.5</v>
          </cell>
          <cell r="AV179">
            <v>6116.0698861405581</v>
          </cell>
          <cell r="AX179">
            <v>0</v>
          </cell>
          <cell r="AZ179">
            <v>0</v>
          </cell>
          <cell r="BB179">
            <v>0</v>
          </cell>
          <cell r="BF179">
            <v>59.324695720455445</v>
          </cell>
          <cell r="BH179">
            <v>61.753945818610134</v>
          </cell>
        </row>
        <row r="180">
          <cell r="AD180">
            <v>7.6999999999999993</v>
          </cell>
          <cell r="AJ180">
            <v>7.6999999999999993</v>
          </cell>
          <cell r="AN180">
            <v>0.46409999999999996</v>
          </cell>
          <cell r="AR180">
            <v>13.7</v>
          </cell>
          <cell r="AT180">
            <v>12.4</v>
          </cell>
          <cell r="AV180">
            <v>4733.4444444444443</v>
          </cell>
          <cell r="AX180">
            <v>4.5999999999999996</v>
          </cell>
          <cell r="AZ180">
            <v>4.2</v>
          </cell>
          <cell r="BB180">
            <v>-2.2183908045977008</v>
          </cell>
          <cell r="BF180">
            <v>43.29501915708812</v>
          </cell>
          <cell r="BH180">
            <v>47.745210727969344</v>
          </cell>
        </row>
        <row r="181">
          <cell r="AD181">
            <v>0.1</v>
          </cell>
          <cell r="AJ181">
            <v>0.1</v>
          </cell>
          <cell r="AN181">
            <v>9.1000000000000004E-3</v>
          </cell>
          <cell r="AR181">
            <v>9.1</v>
          </cell>
          <cell r="AT181">
            <v>5.8</v>
          </cell>
          <cell r="AV181">
            <v>5101.6508937960043</v>
          </cell>
          <cell r="AX181">
            <v>0</v>
          </cell>
          <cell r="AZ181">
            <v>0</v>
          </cell>
          <cell r="BB181">
            <v>0</v>
          </cell>
          <cell r="BF181">
            <v>45.53101997896951</v>
          </cell>
          <cell r="BH181">
            <v>51.471819137749733</v>
          </cell>
        </row>
        <row r="185">
          <cell r="AD185">
            <v>0</v>
          </cell>
          <cell r="AJ185">
            <v>0</v>
          </cell>
          <cell r="AN185">
            <v>0</v>
          </cell>
          <cell r="AR185">
            <v>0</v>
          </cell>
          <cell r="AT185">
            <v>0</v>
          </cell>
          <cell r="AV185">
            <v>0</v>
          </cell>
          <cell r="AX185">
            <v>0</v>
          </cell>
          <cell r="AZ185">
            <v>0</v>
          </cell>
          <cell r="BB185">
            <v>0</v>
          </cell>
          <cell r="BF185">
            <v>0</v>
          </cell>
          <cell r="BH185">
            <v>0</v>
          </cell>
        </row>
        <row r="186">
          <cell r="AD186">
            <v>8.3000000000000007</v>
          </cell>
          <cell r="AJ186">
            <v>8.3000000000000007</v>
          </cell>
          <cell r="AN186">
            <v>0.70550000000000013</v>
          </cell>
          <cell r="AR186">
            <v>8.5</v>
          </cell>
          <cell r="AT186">
            <v>8.5</v>
          </cell>
          <cell r="AV186">
            <v>4783.4816583459951</v>
          </cell>
          <cell r="AX186">
            <v>0</v>
          </cell>
          <cell r="AZ186">
            <v>0</v>
          </cell>
          <cell r="BB186">
            <v>0</v>
          </cell>
          <cell r="BF186">
            <v>44.497503798567394</v>
          </cell>
          <cell r="BH186">
            <v>48.279791621445625</v>
          </cell>
        </row>
        <row r="187">
          <cell r="AD187">
            <v>83.1</v>
          </cell>
          <cell r="AJ187">
            <v>83.1</v>
          </cell>
          <cell r="AN187">
            <v>6.297600000000001</v>
          </cell>
          <cell r="AR187">
            <v>8.9</v>
          </cell>
          <cell r="AT187">
            <v>16.600000000000001</v>
          </cell>
          <cell r="AV187">
            <v>4680.3849162011184</v>
          </cell>
          <cell r="AX187">
            <v>0.7</v>
          </cell>
          <cell r="AZ187">
            <v>1.3</v>
          </cell>
          <cell r="BB187">
            <v>-1.2476722532588358E-2</v>
          </cell>
          <cell r="BF187">
            <v>47.113594040968344</v>
          </cell>
          <cell r="BH187">
            <v>47.274860335195548</v>
          </cell>
        </row>
        <row r="188">
          <cell r="AD188">
            <v>52.2</v>
          </cell>
          <cell r="AJ188">
            <v>52.2</v>
          </cell>
          <cell r="AN188">
            <v>4.2804000000000011</v>
          </cell>
          <cell r="AR188">
            <v>8.1999999999999993</v>
          </cell>
          <cell r="AT188">
            <v>12.6</v>
          </cell>
          <cell r="AV188">
            <v>3127.4374667376269</v>
          </cell>
          <cell r="AX188">
            <v>0</v>
          </cell>
          <cell r="AZ188">
            <v>0</v>
          </cell>
          <cell r="BB188">
            <v>0</v>
          </cell>
          <cell r="BF188">
            <v>31.905268759978711</v>
          </cell>
          <cell r="BH188">
            <v>31.593427354976058</v>
          </cell>
        </row>
        <row r="189">
          <cell r="AD189">
            <v>1.2</v>
          </cell>
          <cell r="AJ189">
            <v>1.2</v>
          </cell>
          <cell r="AN189">
            <v>9.8400000000000015E-2</v>
          </cell>
          <cell r="AR189">
            <v>8.1999999999999993</v>
          </cell>
          <cell r="AT189">
            <v>5.0999999999999996</v>
          </cell>
          <cell r="AV189">
            <v>3753.6846234309642</v>
          </cell>
          <cell r="AX189">
            <v>0</v>
          </cell>
          <cell r="AZ189">
            <v>0</v>
          </cell>
          <cell r="BB189">
            <v>0</v>
          </cell>
          <cell r="BF189">
            <v>33.080543933054393</v>
          </cell>
          <cell r="BH189">
            <v>37.867651673640182</v>
          </cell>
        </row>
        <row r="190">
          <cell r="AD190">
            <v>0.6</v>
          </cell>
          <cell r="AJ190">
            <v>0.6</v>
          </cell>
          <cell r="AN190">
            <v>4.9200000000000008E-2</v>
          </cell>
          <cell r="AR190">
            <v>8.1999999999999993</v>
          </cell>
          <cell r="AT190">
            <v>4.8</v>
          </cell>
          <cell r="AV190">
            <v>3060.6809001731099</v>
          </cell>
          <cell r="AX190">
            <v>0</v>
          </cell>
          <cell r="AZ190">
            <v>0</v>
          </cell>
          <cell r="BB190">
            <v>0</v>
          </cell>
          <cell r="BF190">
            <v>26.13964223889208</v>
          </cell>
          <cell r="BH190">
            <v>30.868205424120021</v>
          </cell>
        </row>
        <row r="194">
          <cell r="AD194">
            <v>0</v>
          </cell>
          <cell r="AJ194">
            <v>0</v>
          </cell>
          <cell r="AN194">
            <v>0</v>
          </cell>
          <cell r="AR194">
            <v>0</v>
          </cell>
          <cell r="AT194">
            <v>0</v>
          </cell>
          <cell r="AV194">
            <v>923.62152624614134</v>
          </cell>
          <cell r="AX194">
            <v>0</v>
          </cell>
          <cell r="AZ194">
            <v>0</v>
          </cell>
          <cell r="BB194">
            <v>0</v>
          </cell>
          <cell r="BF194">
            <v>9.3295103661226406</v>
          </cell>
          <cell r="BH194">
            <v>9.3295103661226406</v>
          </cell>
        </row>
        <row r="195">
          <cell r="AD195">
            <v>248</v>
          </cell>
          <cell r="AJ195">
            <v>248</v>
          </cell>
          <cell r="AN195">
            <v>83.037099999999995</v>
          </cell>
          <cell r="AR195">
            <v>36</v>
          </cell>
          <cell r="AT195">
            <v>47.1</v>
          </cell>
          <cell r="AV195">
            <v>2710.2177581863962</v>
          </cell>
          <cell r="AX195">
            <v>1.3</v>
          </cell>
          <cell r="AZ195">
            <v>1.7</v>
          </cell>
          <cell r="BB195">
            <v>-4.5034184958618217E-2</v>
          </cell>
          <cell r="BF195">
            <v>26.178481468154015</v>
          </cell>
          <cell r="BH195">
            <v>27.363512054695917</v>
          </cell>
        </row>
        <row r="196">
          <cell r="AD196">
            <v>2486.2000000000003</v>
          </cell>
          <cell r="AJ196">
            <v>2486.2000000000003</v>
          </cell>
          <cell r="AN196">
            <v>839.06280000000015</v>
          </cell>
          <cell r="AR196">
            <v>34.700000000000003</v>
          </cell>
          <cell r="AT196">
            <v>125.2</v>
          </cell>
          <cell r="AV196">
            <v>-5732.473401374712</v>
          </cell>
          <cell r="AX196">
            <v>0.5</v>
          </cell>
          <cell r="AZ196">
            <v>1.7</v>
          </cell>
          <cell r="BB196">
            <v>0.95496771505936295</v>
          </cell>
          <cell r="BF196">
            <v>14.413663820037481</v>
          </cell>
          <cell r="BH196">
            <v>-57.171047698396158</v>
          </cell>
        </row>
        <row r="197">
          <cell r="AD197">
            <v>98774.6</v>
          </cell>
          <cell r="AJ197">
            <v>98774.6</v>
          </cell>
          <cell r="AN197">
            <v>34814.328500000003</v>
          </cell>
          <cell r="AR197">
            <v>33.4</v>
          </cell>
          <cell r="AT197">
            <v>74</v>
          </cell>
          <cell r="AV197">
            <v>-1995.1659279778398</v>
          </cell>
          <cell r="AX197">
            <v>-0.9</v>
          </cell>
          <cell r="AZ197">
            <v>-2</v>
          </cell>
          <cell r="BB197">
            <v>-0.85154485403792879</v>
          </cell>
          <cell r="BF197">
            <v>12.422757298103559</v>
          </cell>
          <cell r="BH197">
            <v>-19.835947155337742</v>
          </cell>
        </row>
        <row r="198">
          <cell r="AD198">
            <v>379</v>
          </cell>
          <cell r="AJ198">
            <v>379</v>
          </cell>
          <cell r="AN198">
            <v>130.131</v>
          </cell>
          <cell r="AR198">
            <v>34.1</v>
          </cell>
          <cell r="AT198">
            <v>39</v>
          </cell>
          <cell r="AV198">
            <v>2631.8080882352938</v>
          </cell>
          <cell r="AX198">
            <v>-0.1</v>
          </cell>
          <cell r="AZ198">
            <v>-0.1</v>
          </cell>
          <cell r="BB198">
            <v>2.2605580693816005E-2</v>
          </cell>
          <cell r="BF198">
            <v>22.605580693815995</v>
          </cell>
          <cell r="BH198">
            <v>26.544362745098038</v>
          </cell>
        </row>
        <row r="199">
          <cell r="AD199">
            <v>1.8</v>
          </cell>
          <cell r="AJ199">
            <v>1.8</v>
          </cell>
          <cell r="AN199">
            <v>0.61560000000000015</v>
          </cell>
          <cell r="AR199">
            <v>34.200000000000003</v>
          </cell>
          <cell r="AT199">
            <v>33.9</v>
          </cell>
          <cell r="AV199">
            <v>1957.409488139826</v>
          </cell>
          <cell r="AX199">
            <v>0</v>
          </cell>
          <cell r="AZ199">
            <v>0</v>
          </cell>
          <cell r="BB199">
            <v>0</v>
          </cell>
          <cell r="BF199">
            <v>14.502704952143153</v>
          </cell>
          <cell r="BH199">
            <v>19.719121930919691</v>
          </cell>
        </row>
        <row r="204">
          <cell r="AD204">
            <v>2</v>
          </cell>
          <cell r="AJ204">
            <v>2</v>
          </cell>
          <cell r="AN204">
            <v>6.8000000000000005E-2</v>
          </cell>
          <cell r="AR204">
            <v>3.4</v>
          </cell>
          <cell r="AT204">
            <v>3.1</v>
          </cell>
          <cell r="AV204">
            <v>2599.4039735099345</v>
          </cell>
          <cell r="AX204">
            <v>0</v>
          </cell>
          <cell r="AZ204">
            <v>0</v>
          </cell>
          <cell r="BB204">
            <v>0</v>
          </cell>
          <cell r="BF204">
            <v>25.16556291390728</v>
          </cell>
          <cell r="BH204">
            <v>26.245695364238419</v>
          </cell>
        </row>
        <row r="205">
          <cell r="AD205">
            <v>0</v>
          </cell>
          <cell r="AJ205">
            <v>0</v>
          </cell>
          <cell r="AN205">
            <v>0</v>
          </cell>
          <cell r="AR205">
            <v>-3.4</v>
          </cell>
          <cell r="AT205">
            <v>-3.4</v>
          </cell>
          <cell r="AV205">
            <v>4592.3982321470112</v>
          </cell>
          <cell r="AX205">
            <v>0</v>
          </cell>
          <cell r="AZ205">
            <v>0</v>
          </cell>
          <cell r="BB205">
            <v>0</v>
          </cell>
          <cell r="BF205">
            <v>44.847638985810654</v>
          </cell>
          <cell r="BH205">
            <v>46.372458711328221</v>
          </cell>
        </row>
        <row r="206">
          <cell r="AD206">
            <v>0</v>
          </cell>
          <cell r="AJ206">
            <v>0</v>
          </cell>
          <cell r="AN206">
            <v>0</v>
          </cell>
          <cell r="AR206">
            <v>-3.4</v>
          </cell>
          <cell r="AT206">
            <v>-1.3</v>
          </cell>
          <cell r="AV206">
            <v>2182.0575296108309</v>
          </cell>
          <cell r="AX206">
            <v>0</v>
          </cell>
          <cell r="AZ206">
            <v>0</v>
          </cell>
          <cell r="BB206">
            <v>0</v>
          </cell>
          <cell r="BF206">
            <v>19.661590524534688</v>
          </cell>
          <cell r="BH206">
            <v>22.017191201353658</v>
          </cell>
        </row>
        <row r="207">
          <cell r="AD207">
            <v>0</v>
          </cell>
          <cell r="AJ207">
            <v>0</v>
          </cell>
          <cell r="AN207">
            <v>0</v>
          </cell>
          <cell r="AR207">
            <v>-3.4</v>
          </cell>
          <cell r="AT207">
            <v>-3.3</v>
          </cell>
          <cell r="AV207">
            <v>4560.9248419573878</v>
          </cell>
          <cell r="AX207">
            <v>0</v>
          </cell>
          <cell r="AZ207">
            <v>0</v>
          </cell>
          <cell r="BB207">
            <v>0</v>
          </cell>
          <cell r="BF207">
            <v>44.486068836338092</v>
          </cell>
          <cell r="BH207">
            <v>46.054109107937258</v>
          </cell>
        </row>
        <row r="208">
          <cell r="AD208">
            <v>0.8</v>
          </cell>
          <cell r="AJ208">
            <v>0.8</v>
          </cell>
          <cell r="AN208">
            <v>2.7200000000000005E-2</v>
          </cell>
          <cell r="AR208">
            <v>3.4</v>
          </cell>
          <cell r="AT208">
            <v>2.2000000000000002</v>
          </cell>
          <cell r="AV208">
            <v>4541.942531465209</v>
          </cell>
          <cell r="AX208">
            <v>0</v>
          </cell>
          <cell r="AZ208">
            <v>0</v>
          </cell>
          <cell r="BB208">
            <v>0</v>
          </cell>
          <cell r="BF208">
            <v>43.695084303015911</v>
          </cell>
          <cell r="BH208">
            <v>45.856376157682256</v>
          </cell>
        </row>
        <row r="209">
          <cell r="AD209">
            <v>0</v>
          </cell>
          <cell r="AJ209">
            <v>0</v>
          </cell>
          <cell r="AN209">
            <v>0</v>
          </cell>
          <cell r="AR209">
            <v>-3.4</v>
          </cell>
          <cell r="AT209">
            <v>-3.2</v>
          </cell>
          <cell r="AV209">
            <v>4292.1305841924404</v>
          </cell>
          <cell r="AX209">
            <v>0</v>
          </cell>
          <cell r="AZ209">
            <v>0</v>
          </cell>
          <cell r="BB209">
            <v>0</v>
          </cell>
          <cell r="BF209">
            <v>41.801669121256744</v>
          </cell>
          <cell r="BH209">
            <v>43.339322533136972</v>
          </cell>
        </row>
        <row r="213">
          <cell r="AD213">
            <v>0</v>
          </cell>
          <cell r="AJ213">
            <v>0</v>
          </cell>
          <cell r="AN213">
            <v>0</v>
          </cell>
          <cell r="AR213">
            <v>-5</v>
          </cell>
          <cell r="AT213">
            <v>-4.8</v>
          </cell>
          <cell r="AV213">
            <v>3015.9201491966492</v>
          </cell>
          <cell r="AX213">
            <v>0</v>
          </cell>
          <cell r="AZ213">
            <v>0</v>
          </cell>
          <cell r="BB213">
            <v>0</v>
          </cell>
          <cell r="BF213">
            <v>28.877153974430236</v>
          </cell>
          <cell r="BH213">
            <v>30.447973031710795</v>
          </cell>
        </row>
        <row r="214">
          <cell r="AD214">
            <v>0</v>
          </cell>
          <cell r="AJ214">
            <v>0</v>
          </cell>
          <cell r="AN214">
            <v>0</v>
          </cell>
          <cell r="AR214">
            <v>-6.1</v>
          </cell>
          <cell r="AT214">
            <v>-6</v>
          </cell>
          <cell r="AV214">
            <v>4203.964447753794</v>
          </cell>
          <cell r="AX214">
            <v>0</v>
          </cell>
          <cell r="AZ214">
            <v>0</v>
          </cell>
          <cell r="BB214">
            <v>0</v>
          </cell>
          <cell r="BF214">
            <v>39.995308468214887</v>
          </cell>
          <cell r="BH214">
            <v>42.439597562220087</v>
          </cell>
        </row>
        <row r="215">
          <cell r="AD215">
            <v>0</v>
          </cell>
          <cell r="AJ215">
            <v>0</v>
          </cell>
          <cell r="AN215">
            <v>0</v>
          </cell>
          <cell r="AR215">
            <v>-1.4</v>
          </cell>
          <cell r="AT215">
            <v>-1.3</v>
          </cell>
          <cell r="AV215">
            <v>3370.3501359334482</v>
          </cell>
          <cell r="AX215">
            <v>0</v>
          </cell>
          <cell r="AZ215">
            <v>0</v>
          </cell>
          <cell r="BB215">
            <v>0</v>
          </cell>
          <cell r="BF215">
            <v>33.601453035806948</v>
          </cell>
          <cell r="BH215">
            <v>34.039515889692552</v>
          </cell>
        </row>
        <row r="216">
          <cell r="AD216">
            <v>0</v>
          </cell>
          <cell r="AJ216">
            <v>0</v>
          </cell>
          <cell r="AN216">
            <v>0</v>
          </cell>
          <cell r="AR216">
            <v>-1.2</v>
          </cell>
          <cell r="AT216">
            <v>-1.2</v>
          </cell>
          <cell r="AV216">
            <v>3728.4397068071294</v>
          </cell>
          <cell r="AX216">
            <v>0</v>
          </cell>
          <cell r="AZ216">
            <v>0</v>
          </cell>
          <cell r="BB216">
            <v>0</v>
          </cell>
          <cell r="BF216">
            <v>37.319284489095814</v>
          </cell>
          <cell r="BH216">
            <v>37.657589912962251</v>
          </cell>
        </row>
        <row r="217">
          <cell r="AD217">
            <v>0</v>
          </cell>
          <cell r="AJ217">
            <v>0</v>
          </cell>
          <cell r="AN217">
            <v>0</v>
          </cell>
          <cell r="AR217">
            <v>-2.2999999999999998</v>
          </cell>
          <cell r="AT217">
            <v>-2.2000000000000002</v>
          </cell>
          <cell r="AV217">
            <v>3374.6392236398515</v>
          </cell>
          <cell r="AX217">
            <v>0</v>
          </cell>
          <cell r="AZ217">
            <v>0</v>
          </cell>
          <cell r="BB217">
            <v>0</v>
          </cell>
          <cell r="BF217">
            <v>33.39406559083811</v>
          </cell>
          <cell r="BH217">
            <v>34.080332892306899</v>
          </cell>
        </row>
        <row r="218">
          <cell r="AD218">
            <v>0</v>
          </cell>
          <cell r="AJ218">
            <v>0</v>
          </cell>
          <cell r="AN218">
            <v>0</v>
          </cell>
          <cell r="AR218">
            <v>-5.4</v>
          </cell>
          <cell r="AT218">
            <v>-5.0999999999999996</v>
          </cell>
          <cell r="AV218">
            <v>4096.798211084526</v>
          </cell>
          <cell r="AX218">
            <v>0</v>
          </cell>
          <cell r="AZ218">
            <v>0</v>
          </cell>
          <cell r="BB218">
            <v>0</v>
          </cell>
          <cell r="BF218">
            <v>39.066222010481177</v>
          </cell>
          <cell r="BH218">
            <v>41.358644330950071</v>
          </cell>
        </row>
        <row r="222">
          <cell r="AD222">
            <v>0</v>
          </cell>
          <cell r="AJ222">
            <v>0</v>
          </cell>
          <cell r="AN222">
            <v>0</v>
          </cell>
          <cell r="AR222">
            <v>-1.1000000000000001</v>
          </cell>
          <cell r="AT222">
            <v>-1.1000000000000001</v>
          </cell>
          <cell r="AV222">
            <v>2211.5824710894699</v>
          </cell>
          <cell r="AX222">
            <v>0</v>
          </cell>
          <cell r="AZ222">
            <v>0</v>
          </cell>
          <cell r="BB222">
            <v>0</v>
          </cell>
          <cell r="BF222">
            <v>22.093730979914781</v>
          </cell>
          <cell r="BH222">
            <v>22.336762020693847</v>
          </cell>
        </row>
        <row r="223">
          <cell r="AD223">
            <v>0</v>
          </cell>
          <cell r="AJ223">
            <v>0</v>
          </cell>
          <cell r="AN223">
            <v>0</v>
          </cell>
          <cell r="AR223">
            <v>-1.1000000000000001</v>
          </cell>
          <cell r="AT223">
            <v>-1</v>
          </cell>
          <cell r="AV223">
            <v>3265.1396942540841</v>
          </cell>
          <cell r="AX223">
            <v>0</v>
          </cell>
          <cell r="AZ223">
            <v>0</v>
          </cell>
          <cell r="BB223">
            <v>0</v>
          </cell>
          <cell r="BF223">
            <v>32.551396942540855</v>
          </cell>
          <cell r="BH223">
            <v>32.97691091196625</v>
          </cell>
        </row>
        <row r="224">
          <cell r="AD224">
            <v>13.7</v>
          </cell>
          <cell r="AJ224">
            <v>13.7</v>
          </cell>
          <cell r="AN224">
            <v>0.18589999999999995</v>
          </cell>
          <cell r="AR224">
            <v>0.9</v>
          </cell>
          <cell r="AT224">
            <v>1.6</v>
          </cell>
          <cell r="AV224">
            <v>3293.3560291060271</v>
          </cell>
          <cell r="AX224">
            <v>-0.2</v>
          </cell>
          <cell r="AZ224">
            <v>-0.4</v>
          </cell>
          <cell r="BB224">
            <v>-6.6008316008316026E-2</v>
          </cell>
          <cell r="BF224">
            <v>33.497920997920993</v>
          </cell>
          <cell r="BH224">
            <v>33.267879417879399</v>
          </cell>
        </row>
        <row r="225">
          <cell r="AD225">
            <v>0</v>
          </cell>
          <cell r="AJ225">
            <v>0</v>
          </cell>
          <cell r="AN225">
            <v>0</v>
          </cell>
          <cell r="AR225">
            <v>-1.1000000000000001</v>
          </cell>
          <cell r="AT225">
            <v>-1.1000000000000001</v>
          </cell>
          <cell r="AV225">
            <v>3760.1635342933841</v>
          </cell>
          <cell r="AX225">
            <v>0</v>
          </cell>
          <cell r="AZ225">
            <v>0</v>
          </cell>
          <cell r="BB225">
            <v>0</v>
          </cell>
          <cell r="BF225">
            <v>37.564071271662193</v>
          </cell>
          <cell r="BH225">
            <v>37.977276055650464</v>
          </cell>
        </row>
        <row r="226">
          <cell r="AD226">
            <v>0</v>
          </cell>
          <cell r="AJ226">
            <v>0</v>
          </cell>
          <cell r="AN226">
            <v>0</v>
          </cell>
          <cell r="AR226">
            <v>-1.1000000000000001</v>
          </cell>
          <cell r="AT226">
            <v>-1.1000000000000001</v>
          </cell>
          <cell r="AV226">
            <v>3321.8563968668395</v>
          </cell>
          <cell r="AX226">
            <v>0</v>
          </cell>
          <cell r="AZ226">
            <v>0</v>
          </cell>
          <cell r="BB226">
            <v>0</v>
          </cell>
          <cell r="BF226">
            <v>33.185378590078329</v>
          </cell>
          <cell r="BH226">
            <v>33.550417754569182</v>
          </cell>
        </row>
        <row r="227">
          <cell r="AD227">
            <v>0</v>
          </cell>
          <cell r="AJ227">
            <v>0</v>
          </cell>
          <cell r="AN227">
            <v>0</v>
          </cell>
          <cell r="AR227">
            <v>-1.1000000000000001</v>
          </cell>
          <cell r="AT227">
            <v>-1.1000000000000001</v>
          </cell>
          <cell r="AV227">
            <v>3989.4074770750062</v>
          </cell>
          <cell r="AX227">
            <v>0</v>
          </cell>
          <cell r="AZ227">
            <v>0</v>
          </cell>
          <cell r="BB227">
            <v>0</v>
          </cell>
          <cell r="BF227">
            <v>39.854220550199862</v>
          </cell>
          <cell r="BH227">
            <v>40.292616976252063</v>
          </cell>
        </row>
        <row r="231">
          <cell r="AD231">
            <v>0</v>
          </cell>
          <cell r="AJ231">
            <v>0</v>
          </cell>
          <cell r="AN231">
            <v>0</v>
          </cell>
          <cell r="AR231">
            <v>-1.2</v>
          </cell>
          <cell r="AT231">
            <v>-1.1000000000000001</v>
          </cell>
          <cell r="AV231">
            <v>1718.3128238341976</v>
          </cell>
          <cell r="AX231">
            <v>0</v>
          </cell>
          <cell r="AZ231">
            <v>0</v>
          </cell>
          <cell r="BB231">
            <v>0</v>
          </cell>
          <cell r="BF231">
            <v>17.066062176165797</v>
          </cell>
          <cell r="BH231">
            <v>17.353788860103634</v>
          </cell>
        </row>
        <row r="232">
          <cell r="AD232">
            <v>0</v>
          </cell>
          <cell r="AJ232">
            <v>0</v>
          </cell>
          <cell r="AN232">
            <v>0</v>
          </cell>
          <cell r="AR232">
            <v>-1.2</v>
          </cell>
          <cell r="AT232">
            <v>-1.2</v>
          </cell>
          <cell r="AV232">
            <v>3699.7683017007648</v>
          </cell>
          <cell r="AX232">
            <v>0</v>
          </cell>
          <cell r="AZ232">
            <v>0</v>
          </cell>
          <cell r="BB232">
            <v>0</v>
          </cell>
          <cell r="BF232">
            <v>36.923835346315016</v>
          </cell>
          <cell r="BH232">
            <v>37.366921370470799</v>
          </cell>
        </row>
        <row r="233">
          <cell r="AD233">
            <v>8.8000000000000007</v>
          </cell>
          <cell r="AJ233">
            <v>8.6000000000000014</v>
          </cell>
          <cell r="AN233">
            <v>-8.7599999999999997E-2</v>
          </cell>
          <cell r="AR233">
            <v>-1.2</v>
          </cell>
          <cell r="AT233">
            <v>-0.2</v>
          </cell>
          <cell r="AV233">
            <v>3483.1635030864222</v>
          </cell>
          <cell r="AX233">
            <v>0</v>
          </cell>
          <cell r="AZ233">
            <v>1.7</v>
          </cell>
          <cell r="BB233">
            <v>1.1189043209876544</v>
          </cell>
          <cell r="BF233">
            <v>34.182098765432102</v>
          </cell>
          <cell r="BH233">
            <v>35.184645061728418</v>
          </cell>
        </row>
        <row r="234">
          <cell r="AD234">
            <v>6.3</v>
          </cell>
          <cell r="AJ234">
            <v>6.3</v>
          </cell>
          <cell r="AN234">
            <v>7.5600000000000001E-2</v>
          </cell>
          <cell r="AR234">
            <v>1.2</v>
          </cell>
          <cell r="AT234">
            <v>1.5</v>
          </cell>
          <cell r="AV234">
            <v>3684.8841793987194</v>
          </cell>
          <cell r="AX234">
            <v>0</v>
          </cell>
          <cell r="AZ234">
            <v>0</v>
          </cell>
          <cell r="BB234">
            <v>0</v>
          </cell>
          <cell r="BF234">
            <v>36.964021685559388</v>
          </cell>
          <cell r="BH234">
            <v>37.218482010842791</v>
          </cell>
        </row>
        <row r="235">
          <cell r="AD235">
            <v>5.0999999999999996</v>
          </cell>
          <cell r="AJ235">
            <v>5.0999999999999996</v>
          </cell>
          <cell r="AN235">
            <v>6.1199999999999991E-2</v>
          </cell>
          <cell r="AR235">
            <v>1.2</v>
          </cell>
          <cell r="AT235">
            <v>1.7</v>
          </cell>
          <cell r="AV235">
            <v>3084.7790948275865</v>
          </cell>
          <cell r="AX235">
            <v>0</v>
          </cell>
          <cell r="AZ235">
            <v>0</v>
          </cell>
          <cell r="BB235">
            <v>0</v>
          </cell>
          <cell r="BF235">
            <v>31.061422413793093</v>
          </cell>
          <cell r="BH235">
            <v>31.158405172413794</v>
          </cell>
        </row>
        <row r="236">
          <cell r="AD236">
            <v>0</v>
          </cell>
          <cell r="AJ236">
            <v>0</v>
          </cell>
          <cell r="AN236">
            <v>0</v>
          </cell>
          <cell r="AR236">
            <v>-1.2</v>
          </cell>
          <cell r="AT236">
            <v>-1.2</v>
          </cell>
          <cell r="AV236">
            <v>3869.2481383617596</v>
          </cell>
          <cell r="AX236">
            <v>0</v>
          </cell>
          <cell r="AZ236">
            <v>0</v>
          </cell>
          <cell r="BB236">
            <v>0</v>
          </cell>
          <cell r="BF236">
            <v>38.553927456161432</v>
          </cell>
          <cell r="BH236">
            <v>39.078020658179213</v>
          </cell>
        </row>
        <row r="240">
          <cell r="AD240">
            <v>0</v>
          </cell>
          <cell r="AJ240">
            <v>0</v>
          </cell>
          <cell r="AN240">
            <v>0</v>
          </cell>
          <cell r="AR240">
            <v>-6.2</v>
          </cell>
          <cell r="AT240">
            <v>-6.1</v>
          </cell>
          <cell r="AV240">
            <v>3368.9524062749288</v>
          </cell>
          <cell r="AX240">
            <v>0</v>
          </cell>
          <cell r="AZ240">
            <v>0</v>
          </cell>
          <cell r="BB240">
            <v>0</v>
          </cell>
          <cell r="BF240">
            <v>31.959585216697683</v>
          </cell>
          <cell r="BH240">
            <v>34.009119914916262</v>
          </cell>
        </row>
        <row r="241">
          <cell r="AD241">
            <v>0</v>
          </cell>
          <cell r="AJ241">
            <v>0</v>
          </cell>
          <cell r="AN241">
            <v>0</v>
          </cell>
          <cell r="AR241">
            <v>-6.2</v>
          </cell>
          <cell r="AT241">
            <v>-6.2</v>
          </cell>
          <cell r="AV241">
            <v>4223.752924660741</v>
          </cell>
          <cell r="AX241">
            <v>0</v>
          </cell>
          <cell r="AZ241">
            <v>0</v>
          </cell>
          <cell r="BB241">
            <v>0</v>
          </cell>
          <cell r="BF241">
            <v>40.149742629854948</v>
          </cell>
          <cell r="BH241">
            <v>42.639026672905956</v>
          </cell>
        </row>
        <row r="242">
          <cell r="AD242">
            <v>0</v>
          </cell>
          <cell r="AJ242">
            <v>0</v>
          </cell>
          <cell r="AN242">
            <v>0</v>
          </cell>
          <cell r="AR242">
            <v>-6.2</v>
          </cell>
          <cell r="AT242">
            <v>-6.1</v>
          </cell>
          <cell r="AV242">
            <v>3105.9465417470374</v>
          </cell>
          <cell r="AX242">
            <v>0</v>
          </cell>
          <cell r="AZ242">
            <v>0</v>
          </cell>
          <cell r="BB242">
            <v>0</v>
          </cell>
          <cell r="BF242">
            <v>29.457150730228708</v>
          </cell>
          <cell r="BH242">
            <v>31.354036924772664</v>
          </cell>
        </row>
        <row r="243">
          <cell r="AD243">
            <v>0</v>
          </cell>
          <cell r="AJ243">
            <v>0</v>
          </cell>
          <cell r="AN243">
            <v>0</v>
          </cell>
          <cell r="AR243">
            <v>0</v>
          </cell>
          <cell r="AT243">
            <v>0</v>
          </cell>
          <cell r="AV243">
            <v>0</v>
          </cell>
          <cell r="AX243">
            <v>0</v>
          </cell>
          <cell r="AZ243">
            <v>0</v>
          </cell>
          <cell r="BB243">
            <v>0</v>
          </cell>
          <cell r="BF243">
            <v>0</v>
          </cell>
          <cell r="BH243">
            <v>0</v>
          </cell>
        </row>
        <row r="244">
          <cell r="AD244">
            <v>0</v>
          </cell>
          <cell r="AJ244">
            <v>0</v>
          </cell>
          <cell r="AN244">
            <v>0</v>
          </cell>
          <cell r="AR244">
            <v>-6.2</v>
          </cell>
          <cell r="AT244">
            <v>-6.2</v>
          </cell>
          <cell r="AV244">
            <v>3918.5581167238843</v>
          </cell>
          <cell r="AX244">
            <v>0</v>
          </cell>
          <cell r="AZ244">
            <v>0</v>
          </cell>
          <cell r="BB244">
            <v>0</v>
          </cell>
          <cell r="BF244">
            <v>37.2486512996567</v>
          </cell>
          <cell r="BH244">
            <v>39.558067680235411</v>
          </cell>
        </row>
        <row r="245">
          <cell r="AD245">
            <v>0</v>
          </cell>
          <cell r="AJ245">
            <v>0</v>
          </cell>
          <cell r="AN245">
            <v>0</v>
          </cell>
          <cell r="AR245">
            <v>-6.2</v>
          </cell>
          <cell r="AT245">
            <v>-5.8</v>
          </cell>
          <cell r="AV245">
            <v>4129.5733015494643</v>
          </cell>
          <cell r="AX245">
            <v>0</v>
          </cell>
          <cell r="AZ245">
            <v>0</v>
          </cell>
          <cell r="BB245">
            <v>0</v>
          </cell>
          <cell r="BF245">
            <v>39.022646007151373</v>
          </cell>
          <cell r="BH245">
            <v>41.685959475566158</v>
          </cell>
        </row>
        <row r="249">
          <cell r="AD249">
            <v>522.20000000000005</v>
          </cell>
          <cell r="AJ249">
            <v>522.20000000000005</v>
          </cell>
          <cell r="AN249">
            <v>39.633999999999993</v>
          </cell>
          <cell r="AR249">
            <v>7.6</v>
          </cell>
          <cell r="AT249">
            <v>19.5</v>
          </cell>
          <cell r="AV249">
            <v>2563.0708092485547</v>
          </cell>
          <cell r="AX249">
            <v>0</v>
          </cell>
          <cell r="AZ249">
            <v>0</v>
          </cell>
          <cell r="BB249">
            <v>0</v>
          </cell>
          <cell r="BF249">
            <v>31.671483622350681</v>
          </cell>
          <cell r="BH249">
            <v>25.947422928709052</v>
          </cell>
        </row>
        <row r="250">
          <cell r="AD250">
            <v>0</v>
          </cell>
          <cell r="AJ250">
            <v>0</v>
          </cell>
          <cell r="AN250">
            <v>0</v>
          </cell>
          <cell r="AR250">
            <v>-7.6</v>
          </cell>
          <cell r="AT250">
            <v>-7.6</v>
          </cell>
          <cell r="AV250">
            <v>3585.7497076023392</v>
          </cell>
          <cell r="AX250">
            <v>0</v>
          </cell>
          <cell r="AZ250">
            <v>0</v>
          </cell>
          <cell r="BB250">
            <v>0</v>
          </cell>
          <cell r="BF250">
            <v>33.637426900584785</v>
          </cell>
          <cell r="BH250">
            <v>36.193871345029237</v>
          </cell>
        </row>
        <row r="251">
          <cell r="AD251">
            <v>0</v>
          </cell>
          <cell r="AJ251">
            <v>0</v>
          </cell>
          <cell r="AN251">
            <v>0</v>
          </cell>
          <cell r="AR251">
            <v>-7.6</v>
          </cell>
          <cell r="AT251">
            <v>-5.2</v>
          </cell>
          <cell r="AV251">
            <v>2315.1819464033852</v>
          </cell>
          <cell r="AX251">
            <v>0</v>
          </cell>
          <cell r="AZ251">
            <v>0</v>
          </cell>
          <cell r="BB251">
            <v>0</v>
          </cell>
          <cell r="BF251">
            <v>19.915373765867429</v>
          </cell>
          <cell r="BH251">
            <v>23.350973201692526</v>
          </cell>
        </row>
        <row r="252">
          <cell r="AD252">
            <v>0</v>
          </cell>
          <cell r="AJ252">
            <v>0</v>
          </cell>
          <cell r="AN252">
            <v>0</v>
          </cell>
          <cell r="AR252">
            <v>-7.6</v>
          </cell>
          <cell r="AT252">
            <v>-0.5</v>
          </cell>
          <cell r="AV252">
            <v>2476.3915435852905</v>
          </cell>
          <cell r="AX252">
            <v>0</v>
          </cell>
          <cell r="AZ252">
            <v>0</v>
          </cell>
          <cell r="BB252">
            <v>0</v>
          </cell>
          <cell r="BF252">
            <v>17.7526788300029</v>
          </cell>
          <cell r="BH252">
            <v>24.941442224152933</v>
          </cell>
        </row>
        <row r="253">
          <cell r="AD253">
            <v>0</v>
          </cell>
          <cell r="AJ253">
            <v>0</v>
          </cell>
          <cell r="AN253">
            <v>0</v>
          </cell>
          <cell r="AR253">
            <v>-7.6</v>
          </cell>
          <cell r="AT253">
            <v>-7.6</v>
          </cell>
          <cell r="AV253">
            <v>1477.5917500758273</v>
          </cell>
          <cell r="AX253">
            <v>0</v>
          </cell>
          <cell r="AZ253">
            <v>0</v>
          </cell>
          <cell r="BB253">
            <v>0</v>
          </cell>
          <cell r="BF253">
            <v>13.861085835608133</v>
          </cell>
          <cell r="BH253">
            <v>14.914528359114353</v>
          </cell>
        </row>
        <row r="254">
          <cell r="AD254">
            <v>0</v>
          </cell>
          <cell r="AJ254">
            <v>0</v>
          </cell>
          <cell r="AN254">
            <v>0</v>
          </cell>
          <cell r="AR254">
            <v>-7.6</v>
          </cell>
          <cell r="AT254">
            <v>-7.2</v>
          </cell>
          <cell r="AV254">
            <v>3554.117924528301</v>
          </cell>
          <cell r="AX254">
            <v>0</v>
          </cell>
          <cell r="AZ254">
            <v>0</v>
          </cell>
          <cell r="BB254">
            <v>0</v>
          </cell>
          <cell r="BF254">
            <v>33.089622641509429</v>
          </cell>
          <cell r="BH254">
            <v>35.872075471698103</v>
          </cell>
        </row>
        <row r="258">
          <cell r="AD258">
            <v>0</v>
          </cell>
          <cell r="AJ258">
            <v>0</v>
          </cell>
          <cell r="AN258">
            <v>0</v>
          </cell>
          <cell r="AR258">
            <v>-4.4000000000000004</v>
          </cell>
          <cell r="AT258">
            <v>-4.3</v>
          </cell>
          <cell r="AV258">
            <v>1398.6415394051155</v>
          </cell>
          <cell r="AX258">
            <v>0</v>
          </cell>
          <cell r="AZ258">
            <v>0</v>
          </cell>
          <cell r="BB258">
            <v>0</v>
          </cell>
          <cell r="BF258">
            <v>48.833510074231178</v>
          </cell>
          <cell r="BH258">
            <v>14.474750494793465</v>
          </cell>
        </row>
        <row r="259">
          <cell r="AD259">
            <v>0</v>
          </cell>
          <cell r="AJ259">
            <v>0</v>
          </cell>
          <cell r="AN259">
            <v>0</v>
          </cell>
          <cell r="AR259">
            <v>-2</v>
          </cell>
          <cell r="AT259">
            <v>-2</v>
          </cell>
          <cell r="AV259">
            <v>4394.4851127550155</v>
          </cell>
          <cell r="AX259">
            <v>0</v>
          </cell>
          <cell r="AZ259">
            <v>0</v>
          </cell>
          <cell r="BB259">
            <v>0</v>
          </cell>
          <cell r="BF259">
            <v>43.520724154359215</v>
          </cell>
          <cell r="BH259">
            <v>44.380058369093746</v>
          </cell>
        </row>
        <row r="260">
          <cell r="AD260">
            <v>0</v>
          </cell>
          <cell r="AJ260">
            <v>0</v>
          </cell>
          <cell r="AN260">
            <v>0</v>
          </cell>
          <cell r="AR260">
            <v>-4.0999999999999996</v>
          </cell>
          <cell r="AT260">
            <v>-4.0999999999999996</v>
          </cell>
          <cell r="AV260">
            <v>1144.8172676657291</v>
          </cell>
          <cell r="AX260">
            <v>0</v>
          </cell>
          <cell r="AZ260">
            <v>0</v>
          </cell>
          <cell r="BB260">
            <v>0</v>
          </cell>
          <cell r="BF260">
            <v>20.895522388059717</v>
          </cell>
          <cell r="BH260">
            <v>11.657127900537889</v>
          </cell>
        </row>
        <row r="261">
          <cell r="AD261">
            <v>0</v>
          </cell>
          <cell r="AJ261">
            <v>0</v>
          </cell>
          <cell r="AN261">
            <v>0</v>
          </cell>
          <cell r="AR261">
            <v>-3.6</v>
          </cell>
          <cell r="AT261">
            <v>-3.2</v>
          </cell>
          <cell r="AV261">
            <v>5744.3651248295173</v>
          </cell>
          <cell r="AX261">
            <v>0</v>
          </cell>
          <cell r="AZ261">
            <v>0</v>
          </cell>
          <cell r="BB261">
            <v>0</v>
          </cell>
          <cell r="BF261">
            <v>55.866611774392751</v>
          </cell>
          <cell r="BH261">
            <v>58.002317366039094</v>
          </cell>
        </row>
        <row r="262">
          <cell r="AD262">
            <v>0</v>
          </cell>
          <cell r="AJ262">
            <v>0</v>
          </cell>
          <cell r="AN262">
            <v>0</v>
          </cell>
          <cell r="AR262">
            <v>-4.2</v>
          </cell>
          <cell r="AT262">
            <v>-3.8</v>
          </cell>
          <cell r="AV262">
            <v>6378.9932251628006</v>
          </cell>
          <cell r="AX262">
            <v>0</v>
          </cell>
          <cell r="AZ262">
            <v>0</v>
          </cell>
          <cell r="BB262">
            <v>0</v>
          </cell>
          <cell r="BF262">
            <v>62.219924164081355</v>
          </cell>
          <cell r="BH262">
            <v>64.412131493268816</v>
          </cell>
        </row>
        <row r="263">
          <cell r="AD263">
            <v>0</v>
          </cell>
          <cell r="AJ263">
            <v>0</v>
          </cell>
          <cell r="AN263">
            <v>0</v>
          </cell>
          <cell r="AR263">
            <v>-5.3</v>
          </cell>
          <cell r="AT263">
            <v>-4.7</v>
          </cell>
          <cell r="AV263">
            <v>8357.032934882347</v>
          </cell>
          <cell r="AX263">
            <v>0</v>
          </cell>
          <cell r="AZ263">
            <v>0</v>
          </cell>
          <cell r="BB263">
            <v>0</v>
          </cell>
          <cell r="BF263">
            <v>80.030682689849144</v>
          </cell>
          <cell r="BH263">
            <v>84.370636175721955</v>
          </cell>
        </row>
        <row r="267">
          <cell r="AD267">
            <v>14370</v>
          </cell>
          <cell r="AJ267">
            <v>14370</v>
          </cell>
          <cell r="AN267">
            <v>982.15120000000013</v>
          </cell>
          <cell r="AR267">
            <v>6.8</v>
          </cell>
          <cell r="AT267">
            <v>249.3</v>
          </cell>
          <cell r="AV267">
            <v>51.867181467181695</v>
          </cell>
          <cell r="AX267">
            <v>0</v>
          </cell>
          <cell r="AZ267">
            <v>-1.2</v>
          </cell>
          <cell r="BB267">
            <v>-0.36138996138996138</v>
          </cell>
          <cell r="BF267">
            <v>69.884169884169879</v>
          </cell>
          <cell r="BH267">
            <v>1.2138996138996161</v>
          </cell>
        </row>
        <row r="268">
          <cell r="AD268">
            <v>0</v>
          </cell>
          <cell r="AJ268">
            <v>0</v>
          </cell>
          <cell r="AN268">
            <v>0</v>
          </cell>
          <cell r="AR268">
            <v>0</v>
          </cell>
          <cell r="AT268">
            <v>0</v>
          </cell>
          <cell r="AV268">
            <v>0</v>
          </cell>
          <cell r="AX268">
            <v>0</v>
          </cell>
          <cell r="AZ268">
            <v>0</v>
          </cell>
          <cell r="BB268">
            <v>0</v>
          </cell>
          <cell r="BF268">
            <v>0</v>
          </cell>
          <cell r="BH268">
            <v>0</v>
          </cell>
        </row>
        <row r="269">
          <cell r="AD269">
            <v>25.7</v>
          </cell>
          <cell r="AJ269">
            <v>25.7</v>
          </cell>
          <cell r="AN269">
            <v>1.7476000000000003</v>
          </cell>
          <cell r="AR269">
            <v>6.8</v>
          </cell>
          <cell r="AT269">
            <v>7</v>
          </cell>
          <cell r="AV269">
            <v>6664.1677943166433</v>
          </cell>
          <cell r="AX269">
            <v>0</v>
          </cell>
          <cell r="AZ269">
            <v>0</v>
          </cell>
          <cell r="BB269">
            <v>0</v>
          </cell>
          <cell r="BF269">
            <v>63.058186738836262</v>
          </cell>
          <cell r="BH269">
            <v>67.2722598105548</v>
          </cell>
        </row>
        <row r="270">
          <cell r="AD270">
            <v>9.8000000000000007</v>
          </cell>
          <cell r="AJ270">
            <v>9.8000000000000007</v>
          </cell>
          <cell r="AN270">
            <v>0.6664000000000001</v>
          </cell>
          <cell r="AR270">
            <v>6.8</v>
          </cell>
          <cell r="AT270">
            <v>7.1</v>
          </cell>
          <cell r="AV270">
            <v>8955.0182328190767</v>
          </cell>
          <cell r="AX270">
            <v>0</v>
          </cell>
          <cell r="AZ270">
            <v>0</v>
          </cell>
          <cell r="BB270">
            <v>0</v>
          </cell>
          <cell r="BF270">
            <v>84.684431977559598</v>
          </cell>
          <cell r="BH270">
            <v>90.397026647966356</v>
          </cell>
        </row>
        <row r="271">
          <cell r="AD271">
            <v>26</v>
          </cell>
          <cell r="AJ271">
            <v>26</v>
          </cell>
          <cell r="AN271">
            <v>1.768</v>
          </cell>
          <cell r="AR271">
            <v>6.8</v>
          </cell>
          <cell r="AT271">
            <v>7.2</v>
          </cell>
          <cell r="AV271">
            <v>8258.7349879903923</v>
          </cell>
          <cell r="AX271">
            <v>0</v>
          </cell>
          <cell r="AZ271">
            <v>0</v>
          </cell>
          <cell r="BB271">
            <v>0</v>
          </cell>
          <cell r="BF271">
            <v>78.142514011208974</v>
          </cell>
          <cell r="BH271">
            <v>83.368775020016017</v>
          </cell>
        </row>
        <row r="272">
          <cell r="AD272">
            <v>0</v>
          </cell>
          <cell r="AJ272">
            <v>0</v>
          </cell>
          <cell r="AN272">
            <v>0</v>
          </cell>
          <cell r="AR272">
            <v>-6.8</v>
          </cell>
          <cell r="AT272">
            <v>-6.8</v>
          </cell>
          <cell r="AV272">
            <v>8718.3564292620049</v>
          </cell>
          <cell r="AX272">
            <v>0</v>
          </cell>
          <cell r="AZ272">
            <v>0</v>
          </cell>
          <cell r="BB272">
            <v>0</v>
          </cell>
          <cell r="BF272">
            <v>82.404125040283589</v>
          </cell>
          <cell r="BH272">
            <v>88.007605543022891</v>
          </cell>
        </row>
        <row r="276">
          <cell r="AD276">
            <v>0</v>
          </cell>
          <cell r="AJ276">
            <v>0</v>
          </cell>
          <cell r="AN276">
            <v>0</v>
          </cell>
          <cell r="AR276">
            <v>-4.4000000000000004</v>
          </cell>
          <cell r="AT276">
            <v>-4.3</v>
          </cell>
          <cell r="AV276">
            <v>6651.1968606932633</v>
          </cell>
          <cell r="AX276">
            <v>0</v>
          </cell>
          <cell r="AZ276">
            <v>0</v>
          </cell>
          <cell r="BB276">
            <v>0</v>
          </cell>
          <cell r="BF276">
            <v>64.290385873119675</v>
          </cell>
          <cell r="BH276">
            <v>67.154872465663829</v>
          </cell>
        </row>
        <row r="277">
          <cell r="AD277">
            <v>0</v>
          </cell>
          <cell r="AJ277">
            <v>0</v>
          </cell>
          <cell r="AN277">
            <v>0</v>
          </cell>
          <cell r="AR277">
            <v>0</v>
          </cell>
          <cell r="AT277">
            <v>0</v>
          </cell>
          <cell r="AV277">
            <v>0</v>
          </cell>
          <cell r="AX277">
            <v>0</v>
          </cell>
          <cell r="AZ277">
            <v>0</v>
          </cell>
          <cell r="BB277">
            <v>0</v>
          </cell>
          <cell r="BF277">
            <v>0</v>
          </cell>
          <cell r="BH277">
            <v>0</v>
          </cell>
        </row>
        <row r="278">
          <cell r="AD278">
            <v>8517.1999999999989</v>
          </cell>
          <cell r="AJ278">
            <v>8517.1999999999989</v>
          </cell>
          <cell r="AN278">
            <v>375.48719999999992</v>
          </cell>
          <cell r="AR278">
            <v>4.4000000000000004</v>
          </cell>
          <cell r="AT278">
            <v>14.9</v>
          </cell>
          <cell r="AV278">
            <v>530.94637223974814</v>
          </cell>
          <cell r="AX278">
            <v>0</v>
          </cell>
          <cell r="AZ278">
            <v>0</v>
          </cell>
          <cell r="BB278">
            <v>0</v>
          </cell>
          <cell r="BF278">
            <v>13.880126182965302</v>
          </cell>
          <cell r="BH278">
            <v>5.4482649842271353</v>
          </cell>
        </row>
        <row r="279">
          <cell r="AD279">
            <v>0.6</v>
          </cell>
          <cell r="AJ279">
            <v>0.6</v>
          </cell>
          <cell r="AN279">
            <v>2.6399999999999996E-2</v>
          </cell>
          <cell r="AR279">
            <v>4.4000000000000004</v>
          </cell>
          <cell r="AT279">
            <v>3.9</v>
          </cell>
          <cell r="AV279">
            <v>8986.1831325301209</v>
          </cell>
          <cell r="AX279">
            <v>0</v>
          </cell>
          <cell r="AZ279">
            <v>0</v>
          </cell>
          <cell r="BB279">
            <v>0</v>
          </cell>
          <cell r="BF279">
            <v>86.843373493975903</v>
          </cell>
          <cell r="BH279">
            <v>90.730265060240967</v>
          </cell>
        </row>
        <row r="280">
          <cell r="AD280">
            <v>13.8</v>
          </cell>
          <cell r="AJ280">
            <v>13.8</v>
          </cell>
          <cell r="AN280">
            <v>0.60719999999999996</v>
          </cell>
          <cell r="AR280">
            <v>4.4000000000000004</v>
          </cell>
          <cell r="AT280">
            <v>4.7</v>
          </cell>
          <cell r="AV280">
            <v>8151.3567839195994</v>
          </cell>
          <cell r="AX280">
            <v>0</v>
          </cell>
          <cell r="AZ280">
            <v>0</v>
          </cell>
          <cell r="BB280">
            <v>0</v>
          </cell>
          <cell r="BF280">
            <v>78.894472361809036</v>
          </cell>
          <cell r="BH280">
            <v>82.302512562814073</v>
          </cell>
        </row>
        <row r="281">
          <cell r="AD281">
            <v>0</v>
          </cell>
          <cell r="AJ281">
            <v>0</v>
          </cell>
          <cell r="AN281">
            <v>0</v>
          </cell>
          <cell r="AR281">
            <v>-4.4000000000000004</v>
          </cell>
          <cell r="AT281">
            <v>-4.4000000000000004</v>
          </cell>
          <cell r="AV281">
            <v>9297.4072022160672</v>
          </cell>
          <cell r="AX281">
            <v>0</v>
          </cell>
          <cell r="AZ281">
            <v>0</v>
          </cell>
          <cell r="BB281">
            <v>0</v>
          </cell>
          <cell r="BF281">
            <v>89.91689750692521</v>
          </cell>
          <cell r="BH281">
            <v>93.873240997229928</v>
          </cell>
        </row>
        <row r="285">
          <cell r="AD285">
            <v>0</v>
          </cell>
          <cell r="AJ285">
            <v>0</v>
          </cell>
          <cell r="AN285">
            <v>0</v>
          </cell>
          <cell r="AR285">
            <v>-4.9000000000000004</v>
          </cell>
          <cell r="AT285">
            <v>-4.8</v>
          </cell>
          <cell r="AV285">
            <v>6818.8090737240063</v>
          </cell>
          <cell r="AX285">
            <v>0</v>
          </cell>
          <cell r="AZ285">
            <v>0</v>
          </cell>
          <cell r="BB285">
            <v>0</v>
          </cell>
          <cell r="BF285">
            <v>65.595463137996219</v>
          </cell>
          <cell r="BH285">
            <v>68.84404536862003</v>
          </cell>
        </row>
        <row r="286">
          <cell r="AD286">
            <v>0</v>
          </cell>
          <cell r="AJ286">
            <v>0</v>
          </cell>
          <cell r="AN286">
            <v>0</v>
          </cell>
          <cell r="AR286">
            <v>0</v>
          </cell>
          <cell r="AT286">
            <v>0</v>
          </cell>
          <cell r="AV286">
            <v>0</v>
          </cell>
          <cell r="AX286">
            <v>0</v>
          </cell>
          <cell r="AZ286">
            <v>0</v>
          </cell>
          <cell r="BB286">
            <v>0</v>
          </cell>
          <cell r="BF286">
            <v>0</v>
          </cell>
          <cell r="BH286">
            <v>0</v>
          </cell>
        </row>
        <row r="287">
          <cell r="AD287">
            <v>1323.3</v>
          </cell>
          <cell r="AJ287">
            <v>1323.3</v>
          </cell>
          <cell r="AN287">
            <v>64.954399999999993</v>
          </cell>
          <cell r="AR287">
            <v>4.9000000000000004</v>
          </cell>
          <cell r="AT287">
            <v>41.3</v>
          </cell>
          <cell r="AV287">
            <v>3054.3201913875578</v>
          </cell>
          <cell r="AX287">
            <v>0</v>
          </cell>
          <cell r="AZ287">
            <v>-0.1</v>
          </cell>
          <cell r="BB287">
            <v>-5.2248803827751204E-2</v>
          </cell>
          <cell r="BF287">
            <v>47.751196172248797</v>
          </cell>
          <cell r="BH287">
            <v>31.020191387559791</v>
          </cell>
        </row>
        <row r="288">
          <cell r="AD288">
            <v>0.8</v>
          </cell>
          <cell r="AJ288">
            <v>0.8</v>
          </cell>
          <cell r="AN288">
            <v>3.9200000000000006E-2</v>
          </cell>
          <cell r="AR288">
            <v>4.9000000000000004</v>
          </cell>
          <cell r="AT288">
            <v>4.5999999999999996</v>
          </cell>
          <cell r="AV288">
            <v>4940.5101058710297</v>
          </cell>
          <cell r="AX288">
            <v>0</v>
          </cell>
          <cell r="AZ288">
            <v>0</v>
          </cell>
          <cell r="BB288">
            <v>0</v>
          </cell>
          <cell r="BF288">
            <v>47.44947064485082</v>
          </cell>
          <cell r="BH288">
            <v>49.879595765158804</v>
          </cell>
        </row>
        <row r="289">
          <cell r="AD289">
            <v>13.8</v>
          </cell>
          <cell r="AJ289">
            <v>13.8</v>
          </cell>
          <cell r="AN289">
            <v>0.67620000000000002</v>
          </cell>
          <cell r="AR289">
            <v>4.9000000000000004</v>
          </cell>
          <cell r="AT289">
            <v>5.2</v>
          </cell>
          <cell r="AV289">
            <v>8173.6696532917795</v>
          </cell>
          <cell r="AX289">
            <v>0</v>
          </cell>
          <cell r="AZ289">
            <v>0</v>
          </cell>
          <cell r="BB289">
            <v>0</v>
          </cell>
          <cell r="BF289">
            <v>78.730035060381766</v>
          </cell>
          <cell r="BH289">
            <v>82.523996883521605</v>
          </cell>
        </row>
        <row r="290">
          <cell r="AD290">
            <v>0</v>
          </cell>
          <cell r="AJ290">
            <v>0</v>
          </cell>
          <cell r="AN290">
            <v>0</v>
          </cell>
          <cell r="AR290">
            <v>-4.9000000000000004</v>
          </cell>
          <cell r="AT290">
            <v>-4.9000000000000004</v>
          </cell>
          <cell r="AV290">
            <v>9342.3656509695284</v>
          </cell>
          <cell r="AX290">
            <v>0</v>
          </cell>
          <cell r="AZ290">
            <v>0</v>
          </cell>
          <cell r="BB290">
            <v>0</v>
          </cell>
          <cell r="BF290">
            <v>89.91689750692521</v>
          </cell>
          <cell r="BH290">
            <v>94.322825484764536</v>
          </cell>
        </row>
        <row r="294">
          <cell r="AD294">
            <v>16.899999999999999</v>
          </cell>
          <cell r="AJ294">
            <v>16.899999999999999</v>
          </cell>
          <cell r="AN294">
            <v>-0.41</v>
          </cell>
          <cell r="AR294">
            <v>-2</v>
          </cell>
          <cell r="AT294">
            <v>-1.4</v>
          </cell>
          <cell r="AV294">
            <v>1127.1029389600612</v>
          </cell>
          <cell r="AX294">
            <v>0</v>
          </cell>
          <cell r="AZ294">
            <v>1.2</v>
          </cell>
          <cell r="BB294">
            <v>1.0733986435568952</v>
          </cell>
          <cell r="BF294">
            <v>10.550113036925401</v>
          </cell>
          <cell r="BH294">
            <v>11.387264506405437</v>
          </cell>
        </row>
        <row r="295">
          <cell r="AD295">
            <v>0</v>
          </cell>
          <cell r="AJ295">
            <v>0</v>
          </cell>
          <cell r="AN295">
            <v>0</v>
          </cell>
          <cell r="AR295">
            <v>-2</v>
          </cell>
          <cell r="AT295">
            <v>-2</v>
          </cell>
          <cell r="AV295">
            <v>4395.5931395902808</v>
          </cell>
          <cell r="AX295">
            <v>0</v>
          </cell>
          <cell r="AZ295">
            <v>0</v>
          </cell>
          <cell r="BB295">
            <v>0</v>
          </cell>
          <cell r="BF295">
            <v>43.520724154359215</v>
          </cell>
          <cell r="BH295">
            <v>44.391138637446403</v>
          </cell>
        </row>
        <row r="296">
          <cell r="AD296">
            <v>3663.5</v>
          </cell>
          <cell r="AJ296">
            <v>3663.5</v>
          </cell>
          <cell r="AN296">
            <v>73.287999999999997</v>
          </cell>
          <cell r="AR296">
            <v>2</v>
          </cell>
          <cell r="AT296">
            <v>9.1</v>
          </cell>
          <cell r="AV296">
            <v>-87.99603174603223</v>
          </cell>
          <cell r="AX296">
            <v>0</v>
          </cell>
          <cell r="AZ296">
            <v>0</v>
          </cell>
          <cell r="BB296">
            <v>0</v>
          </cell>
          <cell r="BF296">
            <v>5.7539682539682557</v>
          </cell>
          <cell r="BH296">
            <v>-0.82242063492063977</v>
          </cell>
        </row>
        <row r="297">
          <cell r="AD297">
            <v>0.1</v>
          </cell>
          <cell r="AJ297">
            <v>0.1</v>
          </cell>
          <cell r="AN297">
            <v>2E-3</v>
          </cell>
          <cell r="AR297">
            <v>2</v>
          </cell>
          <cell r="AT297">
            <v>1.8</v>
          </cell>
          <cell r="AV297">
            <v>4514.65763028745</v>
          </cell>
          <cell r="AX297">
            <v>0</v>
          </cell>
          <cell r="AZ297">
            <v>0</v>
          </cell>
          <cell r="BB297">
            <v>0</v>
          </cell>
          <cell r="BF297">
            <v>44.589857443327872</v>
          </cell>
          <cell r="BH297">
            <v>45.592474877307779</v>
          </cell>
        </row>
        <row r="298">
          <cell r="AD298">
            <v>14.2</v>
          </cell>
          <cell r="AJ298">
            <v>14.2</v>
          </cell>
          <cell r="AN298">
            <v>0.28399999999999997</v>
          </cell>
          <cell r="AR298">
            <v>2</v>
          </cell>
          <cell r="AT298">
            <v>4.5</v>
          </cell>
          <cell r="AV298">
            <v>3523.4663809268691</v>
          </cell>
          <cell r="AX298">
            <v>0</v>
          </cell>
          <cell r="AZ298">
            <v>0</v>
          </cell>
          <cell r="BB298">
            <v>0</v>
          </cell>
          <cell r="BF298">
            <v>36.458612376105002</v>
          </cell>
          <cell r="BH298">
            <v>35.599249933029739</v>
          </cell>
        </row>
        <row r="299">
          <cell r="AD299">
            <v>0</v>
          </cell>
          <cell r="AJ299">
            <v>0</v>
          </cell>
          <cell r="AN299">
            <v>0</v>
          </cell>
          <cell r="AR299">
            <v>-2</v>
          </cell>
          <cell r="AT299">
            <v>-1.1000000000000001</v>
          </cell>
          <cell r="AV299">
            <v>4579.2486624796475</v>
          </cell>
          <cell r="AX299">
            <v>0</v>
          </cell>
          <cell r="AZ299">
            <v>0</v>
          </cell>
          <cell r="BB299">
            <v>0</v>
          </cell>
          <cell r="BF299">
            <v>44.847638985810654</v>
          </cell>
          <cell r="BH299">
            <v>46.240963014654582</v>
          </cell>
        </row>
        <row r="303">
          <cell r="AD303">
            <v>0</v>
          </cell>
          <cell r="AJ303">
            <v>0</v>
          </cell>
          <cell r="AN303">
            <v>0</v>
          </cell>
          <cell r="AR303">
            <v>-2</v>
          </cell>
          <cell r="AT303">
            <v>-2</v>
          </cell>
          <cell r="AV303">
            <v>5164.5063709218457</v>
          </cell>
          <cell r="AX303">
            <v>0</v>
          </cell>
          <cell r="AZ303">
            <v>0</v>
          </cell>
          <cell r="BB303">
            <v>0</v>
          </cell>
          <cell r="BF303">
            <v>51.162790697674424</v>
          </cell>
          <cell r="BH303">
            <v>52.156691616195204</v>
          </cell>
        </row>
        <row r="304">
          <cell r="AD304">
            <v>0</v>
          </cell>
          <cell r="AJ304">
            <v>0</v>
          </cell>
          <cell r="AN304">
            <v>0</v>
          </cell>
          <cell r="AR304">
            <v>-2</v>
          </cell>
          <cell r="AT304">
            <v>-2</v>
          </cell>
          <cell r="AV304">
            <v>7279.1252590908744</v>
          </cell>
          <cell r="AX304">
            <v>0</v>
          </cell>
          <cell r="AZ304">
            <v>0</v>
          </cell>
          <cell r="BB304">
            <v>0</v>
          </cell>
          <cell r="BF304">
            <v>72.10015329586102</v>
          </cell>
          <cell r="BH304">
            <v>73.512254123867351</v>
          </cell>
        </row>
        <row r="305">
          <cell r="AD305">
            <v>0</v>
          </cell>
          <cell r="AJ305">
            <v>0</v>
          </cell>
          <cell r="AN305">
            <v>0</v>
          </cell>
          <cell r="AR305">
            <v>-2</v>
          </cell>
          <cell r="AT305">
            <v>-2</v>
          </cell>
          <cell r="AV305">
            <v>5620.9460391516714</v>
          </cell>
          <cell r="AX305">
            <v>0</v>
          </cell>
          <cell r="AZ305">
            <v>0</v>
          </cell>
          <cell r="BB305">
            <v>0</v>
          </cell>
          <cell r="BF305">
            <v>55.681818181818187</v>
          </cell>
          <cell r="BH305">
            <v>56.766278573334894</v>
          </cell>
        </row>
        <row r="306">
          <cell r="AD306">
            <v>0</v>
          </cell>
          <cell r="AJ306">
            <v>0</v>
          </cell>
          <cell r="AN306">
            <v>0</v>
          </cell>
          <cell r="AR306">
            <v>-2</v>
          </cell>
          <cell r="AT306">
            <v>-1.8</v>
          </cell>
          <cell r="AV306">
            <v>8397.9564311506456</v>
          </cell>
          <cell r="AX306">
            <v>0</v>
          </cell>
          <cell r="AZ306">
            <v>0</v>
          </cell>
          <cell r="BB306">
            <v>0</v>
          </cell>
          <cell r="BF306">
            <v>83.312958435207833</v>
          </cell>
          <cell r="BH306">
            <v>84.812693895858544</v>
          </cell>
        </row>
        <row r="307">
          <cell r="AD307">
            <v>0</v>
          </cell>
          <cell r="AJ307">
            <v>0</v>
          </cell>
          <cell r="AN307">
            <v>0</v>
          </cell>
          <cell r="AR307">
            <v>-2</v>
          </cell>
          <cell r="AT307">
            <v>-1.9</v>
          </cell>
          <cell r="AV307">
            <v>4828.3488692398187</v>
          </cell>
          <cell r="AX307">
            <v>0</v>
          </cell>
          <cell r="AZ307">
            <v>0</v>
          </cell>
          <cell r="BB307">
            <v>0</v>
          </cell>
          <cell r="BF307">
            <v>48.246445497630333</v>
          </cell>
          <cell r="BH307">
            <v>48.765953147374489</v>
          </cell>
        </row>
        <row r="308">
          <cell r="AD308">
            <v>0</v>
          </cell>
          <cell r="AJ308">
            <v>0</v>
          </cell>
          <cell r="AN308">
            <v>0</v>
          </cell>
          <cell r="AR308">
            <v>-2</v>
          </cell>
          <cell r="AT308">
            <v>-2</v>
          </cell>
          <cell r="AV308">
            <v>9042.308226965848</v>
          </cell>
          <cell r="AX308">
            <v>0</v>
          </cell>
          <cell r="AZ308">
            <v>0</v>
          </cell>
          <cell r="BB308">
            <v>0</v>
          </cell>
          <cell r="BF308">
            <v>89.570200573065904</v>
          </cell>
          <cell r="BH308">
            <v>91.318784275389135</v>
          </cell>
        </row>
        <row r="312">
          <cell r="AD312">
            <v>0</v>
          </cell>
          <cell r="AJ312">
            <v>0</v>
          </cell>
          <cell r="AN312">
            <v>0</v>
          </cell>
          <cell r="AR312">
            <v>-2</v>
          </cell>
          <cell r="AT312">
            <v>-2</v>
          </cell>
          <cell r="AV312">
            <v>5167.4418604651164</v>
          </cell>
          <cell r="AX312">
            <v>0</v>
          </cell>
          <cell r="AZ312">
            <v>0</v>
          </cell>
          <cell r="BB312">
            <v>0</v>
          </cell>
          <cell r="BF312">
            <v>51.162790697674424</v>
          </cell>
          <cell r="BH312">
            <v>52.186046511627907</v>
          </cell>
        </row>
        <row r="313">
          <cell r="AD313">
            <v>0</v>
          </cell>
          <cell r="AJ313">
            <v>0</v>
          </cell>
          <cell r="AN313">
            <v>0</v>
          </cell>
          <cell r="AR313">
            <v>-2</v>
          </cell>
          <cell r="AT313">
            <v>-2</v>
          </cell>
          <cell r="AV313">
            <v>7282.1154828819635</v>
          </cell>
          <cell r="AX313">
            <v>0</v>
          </cell>
          <cell r="AZ313">
            <v>0</v>
          </cell>
          <cell r="BB313">
            <v>0</v>
          </cell>
          <cell r="BF313">
            <v>72.10015329586102</v>
          </cell>
          <cell r="BH313">
            <v>73.54215636177824</v>
          </cell>
        </row>
        <row r="314">
          <cell r="AD314">
            <v>0</v>
          </cell>
          <cell r="AJ314">
            <v>0</v>
          </cell>
          <cell r="AN314">
            <v>0</v>
          </cell>
          <cell r="AR314">
            <v>-2</v>
          </cell>
          <cell r="AT314">
            <v>-2</v>
          </cell>
          <cell r="AV314">
            <v>5605.6234718826408</v>
          </cell>
          <cell r="AX314">
            <v>0</v>
          </cell>
          <cell r="AZ314">
            <v>0</v>
          </cell>
          <cell r="BB314">
            <v>0</v>
          </cell>
          <cell r="BF314">
            <v>55.501222493887539</v>
          </cell>
          <cell r="BH314">
            <v>56.611246943765281</v>
          </cell>
        </row>
        <row r="315">
          <cell r="AD315">
            <v>-34.700000000000003</v>
          </cell>
          <cell r="AJ315">
            <v>-34.700000000000003</v>
          </cell>
          <cell r="AN315">
            <v>-0.69400000000000006</v>
          </cell>
          <cell r="AR315">
            <v>-2</v>
          </cell>
          <cell r="AT315">
            <v>-4.2</v>
          </cell>
          <cell r="AV315">
            <v>8743.9485627836621</v>
          </cell>
          <cell r="AX315">
            <v>0</v>
          </cell>
          <cell r="AZ315">
            <v>0</v>
          </cell>
          <cell r="BB315">
            <v>0</v>
          </cell>
          <cell r="BF315">
            <v>86.232980332829044</v>
          </cell>
          <cell r="BH315">
            <v>88.301815431164911</v>
          </cell>
        </row>
        <row r="316">
          <cell r="AD316">
            <v>15</v>
          </cell>
          <cell r="AJ316">
            <v>15</v>
          </cell>
          <cell r="AN316">
            <v>0.30199999999999999</v>
          </cell>
          <cell r="AR316">
            <v>2</v>
          </cell>
          <cell r="AT316">
            <v>2.9</v>
          </cell>
          <cell r="AV316">
            <v>4841.2665406427232</v>
          </cell>
          <cell r="AX316">
            <v>0</v>
          </cell>
          <cell r="AZ316">
            <v>0</v>
          </cell>
          <cell r="BB316">
            <v>0</v>
          </cell>
          <cell r="BF316">
            <v>48.393194706994322</v>
          </cell>
          <cell r="BH316">
            <v>48.896597353497171</v>
          </cell>
        </row>
        <row r="317">
          <cell r="AD317">
            <v>0</v>
          </cell>
          <cell r="AJ317">
            <v>0</v>
          </cell>
          <cell r="AN317">
            <v>0</v>
          </cell>
          <cell r="AR317">
            <v>-2</v>
          </cell>
          <cell r="AT317">
            <v>-2</v>
          </cell>
          <cell r="AV317">
            <v>9057.1482602117994</v>
          </cell>
          <cell r="AX317">
            <v>0</v>
          </cell>
          <cell r="AZ317">
            <v>0</v>
          </cell>
          <cell r="BB317">
            <v>0</v>
          </cell>
          <cell r="BF317">
            <v>89.67473524962179</v>
          </cell>
          <cell r="BH317">
            <v>91.468229954614216</v>
          </cell>
        </row>
        <row r="321">
          <cell r="AD321">
            <v>0</v>
          </cell>
          <cell r="AJ321">
            <v>0</v>
          </cell>
          <cell r="AN321">
            <v>0</v>
          </cell>
          <cell r="AR321">
            <v>-1.9</v>
          </cell>
          <cell r="AT321">
            <v>-1.9</v>
          </cell>
          <cell r="AV321">
            <v>5162.3255813953483</v>
          </cell>
          <cell r="AX321">
            <v>0</v>
          </cell>
          <cell r="AZ321">
            <v>0</v>
          </cell>
          <cell r="BB321">
            <v>0</v>
          </cell>
          <cell r="BF321">
            <v>51.162790697674424</v>
          </cell>
          <cell r="BH321">
            <v>52.134883720930226</v>
          </cell>
        </row>
        <row r="322">
          <cell r="AD322">
            <v>0</v>
          </cell>
          <cell r="AJ322">
            <v>0</v>
          </cell>
          <cell r="AN322">
            <v>0</v>
          </cell>
          <cell r="AR322">
            <v>-1.9</v>
          </cell>
          <cell r="AT322">
            <v>-1.9</v>
          </cell>
          <cell r="AV322">
            <v>7274.9054675523766</v>
          </cell>
          <cell r="AX322">
            <v>0</v>
          </cell>
          <cell r="AZ322">
            <v>0</v>
          </cell>
          <cell r="BB322">
            <v>0</v>
          </cell>
          <cell r="BF322">
            <v>72.10015329586102</v>
          </cell>
          <cell r="BH322">
            <v>73.470056208482376</v>
          </cell>
        </row>
        <row r="323">
          <cell r="AD323">
            <v>0</v>
          </cell>
          <cell r="AJ323">
            <v>0</v>
          </cell>
          <cell r="AN323">
            <v>0</v>
          </cell>
          <cell r="AR323">
            <v>-1.9</v>
          </cell>
          <cell r="AT323">
            <v>-1.9</v>
          </cell>
          <cell r="AV323">
            <v>5639.9676898222933</v>
          </cell>
          <cell r="AX323">
            <v>0</v>
          </cell>
          <cell r="AZ323">
            <v>0</v>
          </cell>
          <cell r="BB323">
            <v>0</v>
          </cell>
          <cell r="BF323">
            <v>55.896607431340882</v>
          </cell>
          <cell r="BH323">
            <v>56.958642972536346</v>
          </cell>
        </row>
        <row r="324">
          <cell r="AD324">
            <v>30.3</v>
          </cell>
          <cell r="AJ324">
            <v>30.3</v>
          </cell>
          <cell r="AN324">
            <v>0.57569999999999999</v>
          </cell>
          <cell r="AR324">
            <v>1.9</v>
          </cell>
          <cell r="AT324">
            <v>5.7</v>
          </cell>
          <cell r="AV324">
            <v>8054.1666666666661</v>
          </cell>
          <cell r="AX324">
            <v>0</v>
          </cell>
          <cell r="AZ324">
            <v>0</v>
          </cell>
          <cell r="BB324">
            <v>0</v>
          </cell>
          <cell r="BF324">
            <v>80.555555555555557</v>
          </cell>
          <cell r="BH324">
            <v>81.347222222222214</v>
          </cell>
        </row>
        <row r="325">
          <cell r="AD325">
            <v>12.9</v>
          </cell>
          <cell r="AJ325">
            <v>12.4</v>
          </cell>
          <cell r="AN325">
            <v>0.23559999999999998</v>
          </cell>
          <cell r="AR325">
            <v>1.9</v>
          </cell>
          <cell r="AT325">
            <v>2.7</v>
          </cell>
          <cell r="AV325">
            <v>4811.6539923954369</v>
          </cell>
          <cell r="AX325">
            <v>0</v>
          </cell>
          <cell r="AZ325">
            <v>0</v>
          </cell>
          <cell r="BB325">
            <v>0</v>
          </cell>
          <cell r="BF325">
            <v>48.098859315589351</v>
          </cell>
          <cell r="BH325">
            <v>48.597528517110256</v>
          </cell>
        </row>
        <row r="326">
          <cell r="AD326">
            <v>0</v>
          </cell>
          <cell r="AJ326">
            <v>0</v>
          </cell>
          <cell r="AN326">
            <v>0</v>
          </cell>
          <cell r="AR326">
            <v>-1.9</v>
          </cell>
          <cell r="AT326">
            <v>-1.9</v>
          </cell>
          <cell r="AV326">
            <v>9030.5499999999993</v>
          </cell>
          <cell r="AX326">
            <v>0</v>
          </cell>
          <cell r="AZ326">
            <v>0</v>
          </cell>
          <cell r="BB326">
            <v>0</v>
          </cell>
          <cell r="BF326">
            <v>89.5</v>
          </cell>
          <cell r="BH326">
            <v>91.200499999999991</v>
          </cell>
        </row>
        <row r="330">
          <cell r="AD330">
            <v>0</v>
          </cell>
          <cell r="AJ330">
            <v>0</v>
          </cell>
          <cell r="AN330">
            <v>0</v>
          </cell>
          <cell r="AR330">
            <v>0</v>
          </cell>
          <cell r="AT330">
            <v>0</v>
          </cell>
          <cell r="AV330">
            <v>0</v>
          </cell>
          <cell r="AX330">
            <v>0</v>
          </cell>
          <cell r="AZ330">
            <v>0</v>
          </cell>
          <cell r="BB330">
            <v>0</v>
          </cell>
          <cell r="BF330">
            <v>0</v>
          </cell>
          <cell r="BH330">
            <v>0</v>
          </cell>
        </row>
        <row r="331">
          <cell r="AD331">
            <v>0</v>
          </cell>
          <cell r="AJ331">
            <v>0</v>
          </cell>
          <cell r="AN331">
            <v>0</v>
          </cell>
          <cell r="AR331">
            <v>0</v>
          </cell>
          <cell r="AT331">
            <v>0</v>
          </cell>
          <cell r="AV331">
            <v>408.55677314059307</v>
          </cell>
          <cell r="AX331">
            <v>0</v>
          </cell>
          <cell r="AZ331">
            <v>0</v>
          </cell>
          <cell r="BB331">
            <v>0</v>
          </cell>
          <cell r="BF331">
            <v>4.1268360923292224</v>
          </cell>
          <cell r="BH331">
            <v>4.1268360923292224</v>
          </cell>
        </row>
        <row r="332">
          <cell r="AD332">
            <v>0</v>
          </cell>
          <cell r="AJ332">
            <v>0</v>
          </cell>
          <cell r="AN332">
            <v>0</v>
          </cell>
          <cell r="AR332">
            <v>0</v>
          </cell>
          <cell r="AT332">
            <v>0</v>
          </cell>
          <cell r="AV332">
            <v>0</v>
          </cell>
          <cell r="AX332">
            <v>0</v>
          </cell>
          <cell r="AZ332">
            <v>0</v>
          </cell>
          <cell r="BB332">
            <v>0</v>
          </cell>
          <cell r="BF332">
            <v>0</v>
          </cell>
          <cell r="BH332">
            <v>0</v>
          </cell>
        </row>
        <row r="333">
          <cell r="AD333">
            <v>0</v>
          </cell>
          <cell r="AJ333">
            <v>0</v>
          </cell>
          <cell r="AN333">
            <v>0</v>
          </cell>
          <cell r="AR333">
            <v>0</v>
          </cell>
          <cell r="AT333">
            <v>0</v>
          </cell>
          <cell r="AV333">
            <v>476.66666666666788</v>
          </cell>
          <cell r="AX333">
            <v>0</v>
          </cell>
          <cell r="AZ333">
            <v>0</v>
          </cell>
          <cell r="BB333">
            <v>0</v>
          </cell>
          <cell r="BF333">
            <v>4.8148148148148273</v>
          </cell>
          <cell r="BH333">
            <v>4.8148148148148273</v>
          </cell>
        </row>
        <row r="334">
          <cell r="AD334">
            <v>0</v>
          </cell>
          <cell r="AJ334">
            <v>0</v>
          </cell>
          <cell r="AN334">
            <v>0</v>
          </cell>
          <cell r="AR334">
            <v>0</v>
          </cell>
          <cell r="AT334">
            <v>0</v>
          </cell>
          <cell r="AV334">
            <v>412.98065718946617</v>
          </cell>
          <cell r="AX334">
            <v>0</v>
          </cell>
          <cell r="AZ334">
            <v>0</v>
          </cell>
          <cell r="BB334">
            <v>0</v>
          </cell>
          <cell r="BF334">
            <v>4.1715217897925871</v>
          </cell>
          <cell r="BH334">
            <v>4.1715217897925871</v>
          </cell>
        </row>
        <row r="335">
          <cell r="AD335">
            <v>0</v>
          </cell>
          <cell r="AJ335">
            <v>0</v>
          </cell>
          <cell r="AN335">
            <v>0</v>
          </cell>
          <cell r="AR335">
            <v>0</v>
          </cell>
          <cell r="AT335">
            <v>0</v>
          </cell>
          <cell r="AV335">
            <v>421.81606519208549</v>
          </cell>
          <cell r="AX335">
            <v>0</v>
          </cell>
          <cell r="AZ335">
            <v>0</v>
          </cell>
          <cell r="BB335">
            <v>0</v>
          </cell>
          <cell r="BF335">
            <v>4.2607683352735908</v>
          </cell>
          <cell r="BH335">
            <v>4.2607683352735908</v>
          </cell>
        </row>
        <row r="339">
          <cell r="AD339">
            <v>0</v>
          </cell>
          <cell r="AJ339">
            <v>0</v>
          </cell>
          <cell r="AN339">
            <v>0</v>
          </cell>
          <cell r="AR339">
            <v>0</v>
          </cell>
          <cell r="AT339">
            <v>0</v>
          </cell>
          <cell r="AV339">
            <v>0</v>
          </cell>
          <cell r="AX339">
            <v>0</v>
          </cell>
          <cell r="AZ339">
            <v>0</v>
          </cell>
          <cell r="BB339">
            <v>0</v>
          </cell>
          <cell r="BF339">
            <v>0</v>
          </cell>
          <cell r="BH339">
            <v>0</v>
          </cell>
        </row>
        <row r="340">
          <cell r="AD340">
            <v>0</v>
          </cell>
          <cell r="AJ340">
            <v>0</v>
          </cell>
          <cell r="AN340">
            <v>0</v>
          </cell>
          <cell r="AR340">
            <v>0</v>
          </cell>
          <cell r="AT340">
            <v>0</v>
          </cell>
          <cell r="AV340">
            <v>0</v>
          </cell>
          <cell r="AX340">
            <v>0</v>
          </cell>
          <cell r="AZ340">
            <v>0</v>
          </cell>
          <cell r="BB340">
            <v>0</v>
          </cell>
          <cell r="BF340">
            <v>0</v>
          </cell>
          <cell r="BH340">
            <v>0</v>
          </cell>
        </row>
        <row r="341">
          <cell r="AD341">
            <v>0</v>
          </cell>
          <cell r="AJ341">
            <v>0</v>
          </cell>
          <cell r="AN341">
            <v>0</v>
          </cell>
          <cell r="AR341">
            <v>0</v>
          </cell>
          <cell r="AT341">
            <v>0</v>
          </cell>
          <cell r="AV341">
            <v>0</v>
          </cell>
          <cell r="AX341">
            <v>0</v>
          </cell>
          <cell r="AZ341">
            <v>0</v>
          </cell>
          <cell r="BB341">
            <v>0</v>
          </cell>
          <cell r="BF341">
            <v>0</v>
          </cell>
          <cell r="BH341">
            <v>0</v>
          </cell>
        </row>
        <row r="342">
          <cell r="AD342">
            <v>0</v>
          </cell>
          <cell r="AJ342">
            <v>0</v>
          </cell>
          <cell r="AN342">
            <v>0</v>
          </cell>
          <cell r="AR342">
            <v>0</v>
          </cell>
          <cell r="AT342">
            <v>0</v>
          </cell>
          <cell r="AV342">
            <v>310.10362694300449</v>
          </cell>
          <cell r="AX342">
            <v>0</v>
          </cell>
          <cell r="AZ342">
            <v>0</v>
          </cell>
          <cell r="BB342">
            <v>0</v>
          </cell>
          <cell r="BF342">
            <v>3.1323598681111564</v>
          </cell>
          <cell r="BH342">
            <v>3.1323598681111564</v>
          </cell>
        </row>
        <row r="343">
          <cell r="AD343">
            <v>0</v>
          </cell>
          <cell r="AJ343">
            <v>0</v>
          </cell>
          <cell r="AN343">
            <v>0</v>
          </cell>
          <cell r="AR343">
            <v>0</v>
          </cell>
          <cell r="AT343">
            <v>0</v>
          </cell>
          <cell r="AV343">
            <v>312.36166705909972</v>
          </cell>
          <cell r="AX343">
            <v>0</v>
          </cell>
          <cell r="AZ343">
            <v>0</v>
          </cell>
          <cell r="BB343">
            <v>0</v>
          </cell>
          <cell r="BF343">
            <v>3.1551683541323206</v>
          </cell>
          <cell r="BH343">
            <v>3.1551683541323206</v>
          </cell>
        </row>
        <row r="344">
          <cell r="AD344">
            <v>0</v>
          </cell>
          <cell r="AJ344">
            <v>0</v>
          </cell>
          <cell r="AN344">
            <v>0</v>
          </cell>
          <cell r="AR344">
            <v>0</v>
          </cell>
          <cell r="AT344">
            <v>0</v>
          </cell>
          <cell r="AV344">
            <v>0</v>
          </cell>
          <cell r="AX344">
            <v>0</v>
          </cell>
          <cell r="AZ344">
            <v>0</v>
          </cell>
          <cell r="BB344">
            <v>0</v>
          </cell>
          <cell r="BF344">
            <v>0</v>
          </cell>
          <cell r="BH344">
            <v>0</v>
          </cell>
        </row>
        <row r="348">
          <cell r="AD348">
            <v>0</v>
          </cell>
          <cell r="AJ348">
            <v>0</v>
          </cell>
          <cell r="AN348">
            <v>0</v>
          </cell>
          <cell r="AR348">
            <v>0</v>
          </cell>
          <cell r="AT348">
            <v>0</v>
          </cell>
          <cell r="AV348">
            <v>0</v>
          </cell>
          <cell r="AX348">
            <v>0</v>
          </cell>
          <cell r="AZ348">
            <v>0</v>
          </cell>
          <cell r="BB348">
            <v>0</v>
          </cell>
          <cell r="BF348">
            <v>0</v>
          </cell>
          <cell r="BH348">
            <v>0</v>
          </cell>
        </row>
        <row r="349">
          <cell r="AD349">
            <v>0</v>
          </cell>
          <cell r="AJ349">
            <v>0</v>
          </cell>
          <cell r="AN349">
            <v>0</v>
          </cell>
          <cell r="AR349">
            <v>0</v>
          </cell>
          <cell r="AT349">
            <v>0</v>
          </cell>
          <cell r="AV349">
            <v>0</v>
          </cell>
          <cell r="AX349">
            <v>0</v>
          </cell>
          <cell r="AZ349">
            <v>0</v>
          </cell>
          <cell r="BB349">
            <v>0</v>
          </cell>
          <cell r="BF349">
            <v>0</v>
          </cell>
          <cell r="BH349">
            <v>0</v>
          </cell>
        </row>
        <row r="350">
          <cell r="AD350">
            <v>0</v>
          </cell>
          <cell r="AJ350">
            <v>0</v>
          </cell>
          <cell r="AN350">
            <v>0</v>
          </cell>
          <cell r="AR350">
            <v>0</v>
          </cell>
          <cell r="AT350">
            <v>0</v>
          </cell>
          <cell r="AV350">
            <v>0</v>
          </cell>
          <cell r="AX350">
            <v>0</v>
          </cell>
          <cell r="AZ350">
            <v>0</v>
          </cell>
          <cell r="BB350">
            <v>0</v>
          </cell>
          <cell r="BF350">
            <v>0</v>
          </cell>
          <cell r="BH350">
            <v>0</v>
          </cell>
        </row>
        <row r="351">
          <cell r="AD351">
            <v>0</v>
          </cell>
          <cell r="AJ351">
            <v>0</v>
          </cell>
          <cell r="AN351">
            <v>0</v>
          </cell>
          <cell r="AR351">
            <v>0</v>
          </cell>
          <cell r="AT351">
            <v>0</v>
          </cell>
          <cell r="AV351">
            <v>511.4391143911447</v>
          </cell>
          <cell r="AX351">
            <v>0</v>
          </cell>
          <cell r="AZ351">
            <v>0</v>
          </cell>
          <cell r="BB351">
            <v>0</v>
          </cell>
          <cell r="BF351">
            <v>5.1660516605166134</v>
          </cell>
          <cell r="BH351">
            <v>5.1660516605166134</v>
          </cell>
        </row>
        <row r="352">
          <cell r="AD352">
            <v>0</v>
          </cell>
          <cell r="AJ352">
            <v>0</v>
          </cell>
          <cell r="AN352">
            <v>0</v>
          </cell>
          <cell r="AR352">
            <v>0</v>
          </cell>
          <cell r="AT352">
            <v>0</v>
          </cell>
          <cell r="AV352">
            <v>0</v>
          </cell>
          <cell r="AX352">
            <v>0</v>
          </cell>
          <cell r="AZ352">
            <v>0</v>
          </cell>
          <cell r="BB352">
            <v>0</v>
          </cell>
          <cell r="BF352">
            <v>0</v>
          </cell>
          <cell r="BH352">
            <v>0</v>
          </cell>
        </row>
        <row r="353">
          <cell r="AD353">
            <v>0</v>
          </cell>
          <cell r="AJ353">
            <v>0</v>
          </cell>
          <cell r="AN353">
            <v>0</v>
          </cell>
          <cell r="AR353">
            <v>0</v>
          </cell>
          <cell r="AT353">
            <v>0</v>
          </cell>
          <cell r="AV353">
            <v>0</v>
          </cell>
          <cell r="AX353">
            <v>0</v>
          </cell>
          <cell r="AZ353">
            <v>0</v>
          </cell>
          <cell r="BB353">
            <v>0</v>
          </cell>
          <cell r="BF353">
            <v>0</v>
          </cell>
          <cell r="BH353">
            <v>0</v>
          </cell>
        </row>
        <row r="357">
          <cell r="AD357">
            <v>0</v>
          </cell>
          <cell r="AJ357">
            <v>0</v>
          </cell>
          <cell r="AN357">
            <v>0</v>
          </cell>
          <cell r="AR357">
            <v>0</v>
          </cell>
          <cell r="AT357">
            <v>0</v>
          </cell>
          <cell r="AV357">
            <v>408.55677314059307</v>
          </cell>
          <cell r="AX357">
            <v>0</v>
          </cell>
          <cell r="AZ357">
            <v>0</v>
          </cell>
          <cell r="BB357">
            <v>0</v>
          </cell>
          <cell r="BF357">
            <v>4.1268360923292224</v>
          </cell>
          <cell r="BH357">
            <v>4.1268360923292224</v>
          </cell>
        </row>
        <row r="358">
          <cell r="AD358">
            <v>0</v>
          </cell>
          <cell r="AJ358">
            <v>0</v>
          </cell>
          <cell r="AN358">
            <v>0</v>
          </cell>
          <cell r="AR358">
            <v>0</v>
          </cell>
          <cell r="AT358">
            <v>0</v>
          </cell>
          <cell r="AV358">
            <v>0</v>
          </cell>
          <cell r="AX358">
            <v>0</v>
          </cell>
          <cell r="AZ358">
            <v>0</v>
          </cell>
          <cell r="BB358">
            <v>0</v>
          </cell>
          <cell r="BF358">
            <v>0</v>
          </cell>
          <cell r="BH358">
            <v>0</v>
          </cell>
        </row>
        <row r="359">
          <cell r="AD359">
            <v>0</v>
          </cell>
          <cell r="AJ359">
            <v>0</v>
          </cell>
          <cell r="AN359">
            <v>0</v>
          </cell>
          <cell r="AR359">
            <v>0</v>
          </cell>
          <cell r="AT359">
            <v>0</v>
          </cell>
          <cell r="AV359">
            <v>1132.7084680025851</v>
          </cell>
          <cell r="AX359">
            <v>0</v>
          </cell>
          <cell r="AZ359">
            <v>0</v>
          </cell>
          <cell r="BB359">
            <v>0</v>
          </cell>
          <cell r="BF359">
            <v>11.441499676793788</v>
          </cell>
          <cell r="BH359">
            <v>11.441499676793788</v>
          </cell>
        </row>
        <row r="360">
          <cell r="AD360">
            <v>0</v>
          </cell>
          <cell r="AJ360">
            <v>0</v>
          </cell>
          <cell r="AN360">
            <v>0</v>
          </cell>
          <cell r="AR360">
            <v>0</v>
          </cell>
          <cell r="AT360">
            <v>0</v>
          </cell>
          <cell r="AV360">
            <v>412.98065718946617</v>
          </cell>
          <cell r="AX360">
            <v>0</v>
          </cell>
          <cell r="AZ360">
            <v>0</v>
          </cell>
          <cell r="BB360">
            <v>0</v>
          </cell>
          <cell r="BF360">
            <v>4.1715217897925871</v>
          </cell>
          <cell r="BH360">
            <v>4.1715217897925871</v>
          </cell>
        </row>
        <row r="361">
          <cell r="AD361">
            <v>0</v>
          </cell>
          <cell r="AJ361">
            <v>0</v>
          </cell>
          <cell r="AN361">
            <v>0</v>
          </cell>
          <cell r="AR361">
            <v>0</v>
          </cell>
          <cell r="AT361">
            <v>0</v>
          </cell>
          <cell r="AV361">
            <v>421.81606519208549</v>
          </cell>
          <cell r="AX361">
            <v>0</v>
          </cell>
          <cell r="AZ361">
            <v>0</v>
          </cell>
          <cell r="BB361">
            <v>0</v>
          </cell>
          <cell r="BF361">
            <v>4.2607683352735908</v>
          </cell>
          <cell r="BH361">
            <v>4.2607683352735908</v>
          </cell>
        </row>
        <row r="362">
          <cell r="AD362">
            <v>0</v>
          </cell>
          <cell r="AJ362">
            <v>0</v>
          </cell>
          <cell r="AN362">
            <v>0</v>
          </cell>
          <cell r="AR362">
            <v>0</v>
          </cell>
          <cell r="AT362">
            <v>0</v>
          </cell>
          <cell r="AV362">
            <v>0</v>
          </cell>
          <cell r="AX362">
            <v>0</v>
          </cell>
          <cell r="AZ362">
            <v>0</v>
          </cell>
          <cell r="BB362">
            <v>0</v>
          </cell>
          <cell r="BF362">
            <v>0</v>
          </cell>
          <cell r="BH362">
            <v>0</v>
          </cell>
        </row>
        <row r="366">
          <cell r="AD366">
            <v>0</v>
          </cell>
          <cell r="AJ366">
            <v>0</v>
          </cell>
          <cell r="AN366">
            <v>0</v>
          </cell>
          <cell r="AR366">
            <v>-3.9</v>
          </cell>
          <cell r="AT366">
            <v>-3.9</v>
          </cell>
          <cell r="AV366">
            <v>0</v>
          </cell>
          <cell r="AX366">
            <v>0</v>
          </cell>
          <cell r="AZ366">
            <v>0</v>
          </cell>
          <cell r="BB366">
            <v>0</v>
          </cell>
          <cell r="BF366">
            <v>0</v>
          </cell>
          <cell r="BH366">
            <v>0</v>
          </cell>
        </row>
        <row r="367">
          <cell r="AD367">
            <v>0</v>
          </cell>
          <cell r="AJ367">
            <v>0</v>
          </cell>
          <cell r="AN367">
            <v>0</v>
          </cell>
          <cell r="AR367">
            <v>-3.9</v>
          </cell>
          <cell r="AT367">
            <v>-3.9</v>
          </cell>
          <cell r="AV367">
            <v>0</v>
          </cell>
          <cell r="AX367">
            <v>0</v>
          </cell>
          <cell r="AZ367">
            <v>0</v>
          </cell>
          <cell r="BB367">
            <v>0</v>
          </cell>
          <cell r="BF367">
            <v>0</v>
          </cell>
          <cell r="BH367">
            <v>0</v>
          </cell>
        </row>
        <row r="368">
          <cell r="AD368">
            <v>0</v>
          </cell>
          <cell r="AJ368">
            <v>0</v>
          </cell>
          <cell r="AN368">
            <v>0</v>
          </cell>
          <cell r="AR368">
            <v>-3.9</v>
          </cell>
          <cell r="AT368">
            <v>-3.9</v>
          </cell>
          <cell r="AV368">
            <v>0</v>
          </cell>
          <cell r="AX368">
            <v>0</v>
          </cell>
          <cell r="AZ368">
            <v>0</v>
          </cell>
          <cell r="BB368">
            <v>0</v>
          </cell>
          <cell r="BF368">
            <v>0</v>
          </cell>
          <cell r="BH368">
            <v>0</v>
          </cell>
        </row>
        <row r="369">
          <cell r="AD369">
            <v>0</v>
          </cell>
          <cell r="AJ369">
            <v>0</v>
          </cell>
          <cell r="AN369">
            <v>0</v>
          </cell>
          <cell r="AR369">
            <v>-3.9</v>
          </cell>
          <cell r="AT369">
            <v>-3.9</v>
          </cell>
          <cell r="AV369">
            <v>0</v>
          </cell>
          <cell r="AX369">
            <v>0</v>
          </cell>
          <cell r="AZ369">
            <v>0</v>
          </cell>
          <cell r="BB369">
            <v>0</v>
          </cell>
          <cell r="BF369">
            <v>0</v>
          </cell>
          <cell r="BH369">
            <v>0</v>
          </cell>
        </row>
        <row r="370">
          <cell r="AD370">
            <v>0</v>
          </cell>
          <cell r="AJ370">
            <v>0</v>
          </cell>
          <cell r="AN370">
            <v>0</v>
          </cell>
          <cell r="AR370">
            <v>-3.9</v>
          </cell>
          <cell r="AT370">
            <v>-3.9</v>
          </cell>
          <cell r="AV370">
            <v>0</v>
          </cell>
          <cell r="AX370">
            <v>0</v>
          </cell>
          <cell r="AZ370">
            <v>0</v>
          </cell>
          <cell r="BB370">
            <v>0</v>
          </cell>
          <cell r="BF370">
            <v>0</v>
          </cell>
          <cell r="BH370">
            <v>0</v>
          </cell>
        </row>
        <row r="374">
          <cell r="AD374">
            <v>0</v>
          </cell>
          <cell r="AJ374">
            <v>0</v>
          </cell>
          <cell r="AN374">
            <v>0</v>
          </cell>
          <cell r="AR374">
            <v>0</v>
          </cell>
          <cell r="AT374">
            <v>0</v>
          </cell>
          <cell r="AV374">
            <v>461.77852348993281</v>
          </cell>
          <cell r="AX374">
            <v>0</v>
          </cell>
          <cell r="AZ374">
            <v>0</v>
          </cell>
          <cell r="BB374">
            <v>0</v>
          </cell>
          <cell r="BF374">
            <v>4.6644295302013417</v>
          </cell>
          <cell r="BH374">
            <v>4.6644295302013417</v>
          </cell>
        </row>
        <row r="375">
          <cell r="AD375">
            <v>0</v>
          </cell>
          <cell r="AJ375">
            <v>0</v>
          </cell>
          <cell r="AN375">
            <v>0</v>
          </cell>
          <cell r="AR375">
            <v>-3.9</v>
          </cell>
          <cell r="AT375">
            <v>-3.9</v>
          </cell>
          <cell r="AV375">
            <v>167.46191135734017</v>
          </cell>
          <cell r="AX375">
            <v>0</v>
          </cell>
          <cell r="AZ375">
            <v>0</v>
          </cell>
          <cell r="BB375">
            <v>0</v>
          </cell>
          <cell r="BF375">
            <v>1.6274238227146798</v>
          </cell>
          <cell r="BH375">
            <v>1.6908933518005487</v>
          </cell>
        </row>
        <row r="376">
          <cell r="AD376">
            <v>0</v>
          </cell>
          <cell r="AJ376">
            <v>0</v>
          </cell>
          <cell r="AN376">
            <v>0</v>
          </cell>
          <cell r="AR376">
            <v>-3.9</v>
          </cell>
          <cell r="AT376">
            <v>-3.9</v>
          </cell>
          <cell r="AV376">
            <v>167.46191135734017</v>
          </cell>
          <cell r="AX376">
            <v>0</v>
          </cell>
          <cell r="AZ376">
            <v>0</v>
          </cell>
          <cell r="BB376">
            <v>0</v>
          </cell>
          <cell r="BF376">
            <v>1.6274238227146798</v>
          </cell>
          <cell r="BH376">
            <v>1.6908933518005487</v>
          </cell>
        </row>
        <row r="377">
          <cell r="AD377">
            <v>0</v>
          </cell>
          <cell r="AJ377">
            <v>0</v>
          </cell>
          <cell r="AN377">
            <v>0</v>
          </cell>
          <cell r="AR377">
            <v>-3.9</v>
          </cell>
          <cell r="AT377">
            <v>-3.9</v>
          </cell>
          <cell r="AV377">
            <v>167.46191135734017</v>
          </cell>
          <cell r="AX377">
            <v>0</v>
          </cell>
          <cell r="AZ377">
            <v>0</v>
          </cell>
          <cell r="BB377">
            <v>0</v>
          </cell>
          <cell r="BF377">
            <v>1.6274238227146798</v>
          </cell>
          <cell r="BH377">
            <v>1.6908933518005487</v>
          </cell>
        </row>
        <row r="378">
          <cell r="AD378">
            <v>0</v>
          </cell>
          <cell r="AJ378">
            <v>0</v>
          </cell>
          <cell r="AN378">
            <v>0</v>
          </cell>
          <cell r="AR378">
            <v>-3.9</v>
          </cell>
          <cell r="AT378">
            <v>-3.9</v>
          </cell>
          <cell r="AV378">
            <v>167.46191135734017</v>
          </cell>
          <cell r="AX378">
            <v>0</v>
          </cell>
          <cell r="AZ378">
            <v>0</v>
          </cell>
          <cell r="BB378">
            <v>0</v>
          </cell>
          <cell r="BF378">
            <v>1.6274238227146798</v>
          </cell>
          <cell r="BH378">
            <v>1.6908933518005487</v>
          </cell>
        </row>
        <row r="382">
          <cell r="AD382">
            <v>0.5</v>
          </cell>
          <cell r="AJ382">
            <v>0.5</v>
          </cell>
          <cell r="AN382">
            <v>2.5000000000000001E-2</v>
          </cell>
          <cell r="AR382">
            <v>5</v>
          </cell>
          <cell r="AT382">
            <v>4.9000000000000004</v>
          </cell>
          <cell r="AV382">
            <v>2515.495527728086</v>
          </cell>
          <cell r="AX382">
            <v>0</v>
          </cell>
          <cell r="AZ382">
            <v>0</v>
          </cell>
          <cell r="BB382">
            <v>0</v>
          </cell>
          <cell r="BF382">
            <v>24.11449016100179</v>
          </cell>
          <cell r="BH382">
            <v>25.39610017889088</v>
          </cell>
        </row>
        <row r="383">
          <cell r="AD383">
            <v>0</v>
          </cell>
          <cell r="AJ383">
            <v>0</v>
          </cell>
          <cell r="AN383">
            <v>0</v>
          </cell>
          <cell r="AR383">
            <v>-5</v>
          </cell>
          <cell r="AT383">
            <v>-0.5</v>
          </cell>
          <cell r="AV383">
            <v>3825.8928571428578</v>
          </cell>
          <cell r="AX383">
            <v>0</v>
          </cell>
          <cell r="AZ383">
            <v>0</v>
          </cell>
          <cell r="BB383">
            <v>0</v>
          </cell>
          <cell r="BF383">
            <v>33.928571428571431</v>
          </cell>
          <cell r="BH383">
            <v>38.598214285714292</v>
          </cell>
        </row>
        <row r="384">
          <cell r="AD384">
            <v>0</v>
          </cell>
          <cell r="AJ384">
            <v>0</v>
          </cell>
          <cell r="AN384">
            <v>0</v>
          </cell>
          <cell r="AR384">
            <v>0</v>
          </cell>
          <cell r="AT384">
            <v>0</v>
          </cell>
          <cell r="AV384">
            <v>530.35714285714312</v>
          </cell>
          <cell r="AX384">
            <v>0</v>
          </cell>
          <cell r="AZ384">
            <v>0</v>
          </cell>
          <cell r="BB384">
            <v>0</v>
          </cell>
          <cell r="BF384">
            <v>5.3571428571428603</v>
          </cell>
          <cell r="BH384">
            <v>5.3571428571428603</v>
          </cell>
        </row>
        <row r="385">
          <cell r="AD385">
            <v>0</v>
          </cell>
          <cell r="AJ385">
            <v>0</v>
          </cell>
          <cell r="AN385">
            <v>0</v>
          </cell>
          <cell r="AR385">
            <v>-5</v>
          </cell>
          <cell r="AT385">
            <v>-5</v>
          </cell>
          <cell r="AV385">
            <v>3528.5714285714294</v>
          </cell>
          <cell r="AX385">
            <v>0</v>
          </cell>
          <cell r="AZ385">
            <v>0</v>
          </cell>
          <cell r="BB385">
            <v>0</v>
          </cell>
          <cell r="BF385">
            <v>33.928571428571431</v>
          </cell>
          <cell r="BH385">
            <v>35.625000000000007</v>
          </cell>
        </row>
        <row r="386">
          <cell r="AD386">
            <v>1702.6</v>
          </cell>
          <cell r="AJ386">
            <v>1702.6</v>
          </cell>
          <cell r="AN386">
            <v>69.385000000000005</v>
          </cell>
          <cell r="AR386">
            <v>6.1</v>
          </cell>
          <cell r="AT386">
            <v>8.6</v>
          </cell>
          <cell r="AV386">
            <v>1836.5217142857139</v>
          </cell>
          <cell r="AX386">
            <v>1.1000000000000001</v>
          </cell>
          <cell r="AZ386">
            <v>1.6</v>
          </cell>
          <cell r="BB386">
            <v>0.19257142857142839</v>
          </cell>
          <cell r="BF386">
            <v>19.214285714285705</v>
          </cell>
          <cell r="BH386">
            <v>18.559285714285711</v>
          </cell>
        </row>
        <row r="387">
          <cell r="AD387">
            <v>0</v>
          </cell>
          <cell r="AJ387">
            <v>0</v>
          </cell>
          <cell r="AN387">
            <v>0</v>
          </cell>
          <cell r="AR387">
            <v>-5</v>
          </cell>
          <cell r="AT387">
            <v>-5</v>
          </cell>
          <cell r="AV387">
            <v>7016.2857142857138</v>
          </cell>
          <cell r="AX387">
            <v>0</v>
          </cell>
          <cell r="AZ387">
            <v>0</v>
          </cell>
          <cell r="BB387">
            <v>0</v>
          </cell>
          <cell r="BF387">
            <v>67.464285714285708</v>
          </cell>
          <cell r="BH387">
            <v>70.837499999999991</v>
          </cell>
        </row>
        <row r="388">
          <cell r="AD388">
            <v>0</v>
          </cell>
          <cell r="AJ388">
            <v>0</v>
          </cell>
          <cell r="AN388">
            <v>0</v>
          </cell>
          <cell r="AR388">
            <v>-5</v>
          </cell>
          <cell r="AT388">
            <v>-5</v>
          </cell>
          <cell r="AV388">
            <v>4271.4285714285716</v>
          </cell>
          <cell r="AX388">
            <v>0</v>
          </cell>
          <cell r="AZ388">
            <v>0</v>
          </cell>
          <cell r="BB388">
            <v>0</v>
          </cell>
          <cell r="BF388">
            <v>41.071428571428569</v>
          </cell>
          <cell r="BH388">
            <v>43.125</v>
          </cell>
        </row>
        <row r="389">
          <cell r="AD389">
            <v>0</v>
          </cell>
          <cell r="AJ389">
            <v>0</v>
          </cell>
          <cell r="AN389">
            <v>0</v>
          </cell>
          <cell r="AR389">
            <v>-5</v>
          </cell>
          <cell r="AT389">
            <v>-5</v>
          </cell>
          <cell r="AV389">
            <v>1519.1428571428564</v>
          </cell>
          <cell r="AX389">
            <v>0</v>
          </cell>
          <cell r="AZ389">
            <v>0</v>
          </cell>
          <cell r="BB389">
            <v>0</v>
          </cell>
          <cell r="BF389">
            <v>14.607142857142852</v>
          </cell>
          <cell r="BH389">
            <v>15.337499999999993</v>
          </cell>
        </row>
        <row r="390">
          <cell r="AD390">
            <v>0</v>
          </cell>
          <cell r="AJ390">
            <v>0</v>
          </cell>
          <cell r="AN390">
            <v>0</v>
          </cell>
          <cell r="AR390">
            <v>-5</v>
          </cell>
          <cell r="AT390">
            <v>-5</v>
          </cell>
          <cell r="AV390">
            <v>6154.5714285714284</v>
          </cell>
          <cell r="AX390">
            <v>0</v>
          </cell>
          <cell r="AZ390">
            <v>0</v>
          </cell>
          <cell r="BB390">
            <v>0</v>
          </cell>
          <cell r="BF390">
            <v>59.178571428571438</v>
          </cell>
          <cell r="BH390">
            <v>62.137500000000003</v>
          </cell>
        </row>
        <row r="391">
          <cell r="AD391">
            <v>0</v>
          </cell>
          <cell r="AJ391">
            <v>0</v>
          </cell>
          <cell r="AN391">
            <v>0</v>
          </cell>
          <cell r="AR391">
            <v>-5</v>
          </cell>
          <cell r="AT391">
            <v>-5</v>
          </cell>
          <cell r="AV391">
            <v>4271.4285714285716</v>
          </cell>
          <cell r="AX391">
            <v>0</v>
          </cell>
          <cell r="AZ391">
            <v>0</v>
          </cell>
          <cell r="BB391">
            <v>0</v>
          </cell>
          <cell r="BF391">
            <v>41.071428571428569</v>
          </cell>
          <cell r="BH391">
            <v>43.125</v>
          </cell>
        </row>
        <row r="392">
          <cell r="AD392">
            <v>0</v>
          </cell>
          <cell r="AJ392">
            <v>0</v>
          </cell>
          <cell r="AN392">
            <v>0</v>
          </cell>
          <cell r="AR392">
            <v>-5</v>
          </cell>
          <cell r="AT392">
            <v>-5</v>
          </cell>
          <cell r="AV392">
            <v>3900.0000000000009</v>
          </cell>
          <cell r="AX392">
            <v>0</v>
          </cell>
          <cell r="AZ392">
            <v>0</v>
          </cell>
          <cell r="BB392">
            <v>0</v>
          </cell>
          <cell r="BF392">
            <v>37.5</v>
          </cell>
          <cell r="BH392">
            <v>39.375000000000007</v>
          </cell>
        </row>
        <row r="393">
          <cell r="AD393">
            <v>0</v>
          </cell>
          <cell r="AJ393">
            <v>0</v>
          </cell>
          <cell r="AN393">
            <v>0</v>
          </cell>
          <cell r="AR393">
            <v>0</v>
          </cell>
          <cell r="AT393">
            <v>0</v>
          </cell>
          <cell r="AV393">
            <v>176.78571428571476</v>
          </cell>
          <cell r="AX393">
            <v>0</v>
          </cell>
          <cell r="AZ393">
            <v>0</v>
          </cell>
          <cell r="BB393">
            <v>0</v>
          </cell>
          <cell r="BF393">
            <v>1.7857142857142905</v>
          </cell>
          <cell r="BH393">
            <v>1.7857142857142905</v>
          </cell>
        </row>
        <row r="394">
          <cell r="AD394">
            <v>0</v>
          </cell>
          <cell r="AJ394">
            <v>0</v>
          </cell>
          <cell r="AN394">
            <v>0</v>
          </cell>
          <cell r="AR394">
            <v>-5</v>
          </cell>
          <cell r="AT394">
            <v>-5</v>
          </cell>
          <cell r="AV394">
            <v>2785.7142857142858</v>
          </cell>
          <cell r="AX394">
            <v>0</v>
          </cell>
          <cell r="AZ394">
            <v>0</v>
          </cell>
          <cell r="BB394">
            <v>0</v>
          </cell>
          <cell r="BF394">
            <v>26.785714285714292</v>
          </cell>
          <cell r="BH394">
            <v>28.125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P2" t="str">
            <v xml:space="preserve">    </v>
          </cell>
          <cell r="AA2">
            <v>1</v>
          </cell>
        </row>
      </sheetData>
      <sheetData sheetId="12"/>
      <sheetData sheetId="13">
        <row r="2">
          <cell r="W2">
            <v>1</v>
          </cell>
        </row>
        <row r="8">
          <cell r="F8" t="str">
            <v>Retirements</v>
          </cell>
        </row>
        <row r="9">
          <cell r="F9" t="str">
            <v>C</v>
          </cell>
        </row>
        <row r="12">
          <cell r="F12">
            <v>0</v>
          </cell>
        </row>
        <row r="13">
          <cell r="F13">
            <v>9254222</v>
          </cell>
        </row>
        <row r="14">
          <cell r="F14">
            <v>157749490</v>
          </cell>
        </row>
        <row r="15">
          <cell r="F15">
            <v>53855081</v>
          </cell>
        </row>
        <row r="16">
          <cell r="F16">
            <v>15048528</v>
          </cell>
        </row>
        <row r="17">
          <cell r="F17">
            <v>1644769</v>
          </cell>
        </row>
        <row r="18">
          <cell r="F18">
            <v>237552090</v>
          </cell>
        </row>
        <row r="21">
          <cell r="F21">
            <v>1412339</v>
          </cell>
        </row>
        <row r="22">
          <cell r="F22">
            <v>142003</v>
          </cell>
        </row>
        <row r="23">
          <cell r="F23">
            <v>50486101</v>
          </cell>
        </row>
        <row r="24">
          <cell r="F24">
            <v>15114457</v>
          </cell>
        </row>
        <row r="25">
          <cell r="F25">
            <v>3419002</v>
          </cell>
        </row>
        <row r="26">
          <cell r="F26">
            <v>1723529</v>
          </cell>
        </row>
        <row r="27">
          <cell r="F27">
            <v>72297431</v>
          </cell>
        </row>
        <row r="30">
          <cell r="F30">
            <v>905704</v>
          </cell>
        </row>
        <row r="31">
          <cell r="F31">
            <v>157546</v>
          </cell>
        </row>
        <row r="32">
          <cell r="F32">
            <v>54973410</v>
          </cell>
        </row>
        <row r="33">
          <cell r="F33">
            <v>7383135</v>
          </cell>
        </row>
        <row r="34">
          <cell r="F34">
            <v>1959266</v>
          </cell>
        </row>
        <row r="35">
          <cell r="F35">
            <v>65379061</v>
          </cell>
        </row>
        <row r="38">
          <cell r="F38">
            <v>3255757</v>
          </cell>
        </row>
        <row r="39">
          <cell r="F39">
            <v>3255757</v>
          </cell>
        </row>
        <row r="42">
          <cell r="F42">
            <v>453321</v>
          </cell>
        </row>
        <row r="43">
          <cell r="F43">
            <v>1063931</v>
          </cell>
        </row>
        <row r="44">
          <cell r="F44">
            <v>41933994</v>
          </cell>
        </row>
        <row r="45">
          <cell r="F45">
            <v>21761572</v>
          </cell>
        </row>
        <row r="46">
          <cell r="F46">
            <v>13971677</v>
          </cell>
        </row>
        <row r="47">
          <cell r="F47">
            <v>3428684</v>
          </cell>
        </row>
        <row r="48">
          <cell r="F48">
            <v>13773596</v>
          </cell>
        </row>
        <row r="49">
          <cell r="F49">
            <v>26028536</v>
          </cell>
        </row>
        <row r="50">
          <cell r="F50">
            <v>15495268</v>
          </cell>
        </row>
        <row r="51">
          <cell r="F51">
            <v>2750980</v>
          </cell>
        </row>
        <row r="52">
          <cell r="F52">
            <v>362402</v>
          </cell>
        </row>
        <row r="53">
          <cell r="F53">
            <v>80471659</v>
          </cell>
        </row>
        <row r="54">
          <cell r="F54">
            <v>1817479</v>
          </cell>
        </row>
        <row r="55">
          <cell r="F55">
            <v>223313099</v>
          </cell>
        </row>
        <row r="59">
          <cell r="F59">
            <v>23803362</v>
          </cell>
        </row>
        <row r="60">
          <cell r="F60">
            <v>2338404</v>
          </cell>
        </row>
        <row r="61">
          <cell r="F61">
            <v>12419909</v>
          </cell>
        </row>
        <row r="62">
          <cell r="F62">
            <v>9034963</v>
          </cell>
        </row>
        <row r="63">
          <cell r="F63">
            <v>8546721</v>
          </cell>
        </row>
        <row r="64">
          <cell r="F64">
            <v>12941921</v>
          </cell>
        </row>
        <row r="65">
          <cell r="F65">
            <v>9263151</v>
          </cell>
        </row>
        <row r="66">
          <cell r="F66">
            <v>147569</v>
          </cell>
        </row>
        <row r="67">
          <cell r="F67">
            <v>21251</v>
          </cell>
        </row>
        <row r="68">
          <cell r="F68">
            <v>2901923</v>
          </cell>
        </row>
        <row r="69">
          <cell r="F69">
            <v>912408</v>
          </cell>
        </row>
        <row r="70">
          <cell r="F70">
            <v>9963147</v>
          </cell>
        </row>
        <row r="71">
          <cell r="F71">
            <v>92294729</v>
          </cell>
        </row>
        <row r="74">
          <cell r="F74">
            <v>8056348</v>
          </cell>
        </row>
        <row r="75">
          <cell r="F75">
            <v>102637553</v>
          </cell>
        </row>
        <row r="76">
          <cell r="F76">
            <v>3506832</v>
          </cell>
        </row>
        <row r="77">
          <cell r="F77">
            <v>8923543</v>
          </cell>
        </row>
        <row r="78">
          <cell r="F78">
            <v>5292236</v>
          </cell>
        </row>
        <row r="79">
          <cell r="F79">
            <v>13829518</v>
          </cell>
        </row>
        <row r="80">
          <cell r="F80">
            <v>2405363</v>
          </cell>
        </row>
        <row r="81">
          <cell r="F81">
            <v>144651393</v>
          </cell>
        </row>
        <row r="83">
          <cell r="F83">
            <v>236946122</v>
          </cell>
        </row>
        <row r="85">
          <cell r="F85">
            <v>838743560</v>
          </cell>
        </row>
        <row r="88">
          <cell r="F88">
            <v>223313099</v>
          </cell>
        </row>
        <row r="89">
          <cell r="F89">
            <v>223313099</v>
          </cell>
        </row>
        <row r="91">
          <cell r="F91">
            <v>1062056659</v>
          </cell>
        </row>
        <row r="95">
          <cell r="F95">
            <v>0</v>
          </cell>
        </row>
        <row r="96">
          <cell r="F96">
            <v>896598</v>
          </cell>
        </row>
        <row r="97">
          <cell r="F97">
            <v>17502293</v>
          </cell>
        </row>
        <row r="98">
          <cell r="F98">
            <v>3197373</v>
          </cell>
        </row>
        <row r="99">
          <cell r="F99">
            <v>1110534</v>
          </cell>
        </row>
        <row r="100">
          <cell r="F100">
            <v>501555</v>
          </cell>
        </row>
        <row r="101">
          <cell r="F101">
            <v>23208353</v>
          </cell>
        </row>
        <row r="104">
          <cell r="F104">
            <v>0</v>
          </cell>
        </row>
        <row r="105">
          <cell r="F105">
            <v>469226</v>
          </cell>
        </row>
        <row r="106">
          <cell r="F106">
            <v>8766474</v>
          </cell>
        </row>
        <row r="107">
          <cell r="F107">
            <v>2068460</v>
          </cell>
        </row>
        <row r="108">
          <cell r="F108">
            <v>756037</v>
          </cell>
        </row>
        <row r="109">
          <cell r="F109">
            <v>269209</v>
          </cell>
        </row>
        <row r="110">
          <cell r="F110">
            <v>12329406</v>
          </cell>
        </row>
        <row r="113">
          <cell r="F113">
            <v>0</v>
          </cell>
        </row>
        <row r="114">
          <cell r="F114">
            <v>427372</v>
          </cell>
        </row>
        <row r="115">
          <cell r="F115">
            <v>8735819</v>
          </cell>
        </row>
        <row r="116">
          <cell r="F116">
            <v>1128913</v>
          </cell>
        </row>
        <row r="117">
          <cell r="F117">
            <v>354497</v>
          </cell>
        </row>
        <row r="118">
          <cell r="F118">
            <v>232346</v>
          </cell>
        </row>
        <row r="119">
          <cell r="F119">
            <v>10878947</v>
          </cell>
        </row>
        <row r="122">
          <cell r="F122">
            <v>0</v>
          </cell>
        </row>
        <row r="123">
          <cell r="F123">
            <v>5186079</v>
          </cell>
        </row>
        <row r="124">
          <cell r="F124">
            <v>127810871</v>
          </cell>
        </row>
        <row r="125">
          <cell r="F125">
            <v>46403715</v>
          </cell>
        </row>
        <row r="126">
          <cell r="F126">
            <v>1732599</v>
          </cell>
        </row>
        <row r="127">
          <cell r="F127">
            <v>800618</v>
          </cell>
        </row>
        <row r="128">
          <cell r="F128">
            <v>181933882</v>
          </cell>
        </row>
        <row r="131">
          <cell r="F131">
            <v>0</v>
          </cell>
        </row>
        <row r="132">
          <cell r="F132">
            <v>1217312</v>
          </cell>
        </row>
        <row r="133">
          <cell r="F133">
            <v>29769335</v>
          </cell>
        </row>
        <row r="134">
          <cell r="F134">
            <v>8660507</v>
          </cell>
        </row>
        <row r="135">
          <cell r="F135">
            <v>216279</v>
          </cell>
        </row>
        <row r="136">
          <cell r="F136">
            <v>341530</v>
          </cell>
        </row>
        <row r="137">
          <cell r="F137">
            <v>40204963</v>
          </cell>
        </row>
        <row r="140">
          <cell r="F140">
            <v>0</v>
          </cell>
        </row>
        <row r="141">
          <cell r="F141">
            <v>2750100</v>
          </cell>
        </row>
        <row r="142">
          <cell r="F142">
            <v>75795275</v>
          </cell>
        </row>
        <row r="143">
          <cell r="F143">
            <v>37669865</v>
          </cell>
        </row>
        <row r="144">
          <cell r="F144">
            <v>1453547</v>
          </cell>
        </row>
        <row r="145">
          <cell r="F145">
            <v>320409</v>
          </cell>
        </row>
        <row r="146">
          <cell r="F146">
            <v>117989196</v>
          </cell>
        </row>
        <row r="149">
          <cell r="F149">
            <v>0</v>
          </cell>
        </row>
        <row r="150">
          <cell r="F150">
            <v>0</v>
          </cell>
        </row>
        <row r="151">
          <cell r="F151">
            <v>21226898</v>
          </cell>
        </row>
        <row r="152">
          <cell r="F152">
            <v>0</v>
          </cell>
        </row>
        <row r="153">
          <cell r="F153">
            <v>17007</v>
          </cell>
        </row>
        <row r="154">
          <cell r="F154">
            <v>0</v>
          </cell>
        </row>
        <row r="155">
          <cell r="F155">
            <v>21243905</v>
          </cell>
        </row>
        <row r="158">
          <cell r="F158">
            <v>0</v>
          </cell>
        </row>
        <row r="159">
          <cell r="F159">
            <v>1218667</v>
          </cell>
        </row>
        <row r="160">
          <cell r="F160">
            <v>1019363</v>
          </cell>
        </row>
        <row r="161">
          <cell r="F161">
            <v>73343</v>
          </cell>
        </row>
        <row r="162">
          <cell r="F162">
            <v>45766</v>
          </cell>
        </row>
        <row r="163">
          <cell r="F163">
            <v>138679</v>
          </cell>
        </row>
        <row r="164">
          <cell r="F164">
            <v>2495818</v>
          </cell>
        </row>
        <row r="167">
          <cell r="F167">
            <v>0</v>
          </cell>
        </row>
        <row r="168">
          <cell r="F168">
            <v>3171545</v>
          </cell>
        </row>
        <row r="169">
          <cell r="F169">
            <v>12436326</v>
          </cell>
        </row>
        <row r="170">
          <cell r="F170">
            <v>4253993</v>
          </cell>
        </row>
        <row r="171">
          <cell r="F171">
            <v>12205395</v>
          </cell>
        </row>
        <row r="172">
          <cell r="F172">
            <v>342596</v>
          </cell>
        </row>
        <row r="173">
          <cell r="F173">
            <v>32409855</v>
          </cell>
        </row>
        <row r="176">
          <cell r="F176">
            <v>0</v>
          </cell>
        </row>
        <row r="177">
          <cell r="F177">
            <v>430995</v>
          </cell>
        </row>
        <row r="178">
          <cell r="F178">
            <v>2277153</v>
          </cell>
        </row>
        <row r="179">
          <cell r="F179">
            <v>1744678</v>
          </cell>
        </row>
        <row r="180">
          <cell r="F180">
            <v>2885927</v>
          </cell>
        </row>
        <row r="181">
          <cell r="F181">
            <v>71086</v>
          </cell>
        </row>
        <row r="182">
          <cell r="F182">
            <v>7409839</v>
          </cell>
        </row>
        <row r="185">
          <cell r="F185">
            <v>0</v>
          </cell>
        </row>
        <row r="186">
          <cell r="F186">
            <v>976704</v>
          </cell>
        </row>
        <row r="187">
          <cell r="F187">
            <v>9825351</v>
          </cell>
        </row>
        <row r="188">
          <cell r="F188">
            <v>2508799</v>
          </cell>
        </row>
        <row r="189">
          <cell r="F189">
            <v>9233308</v>
          </cell>
        </row>
        <row r="190">
          <cell r="F190">
            <v>225175</v>
          </cell>
        </row>
        <row r="191">
          <cell r="F191">
            <v>22769337</v>
          </cell>
        </row>
        <row r="194">
          <cell r="F194">
            <v>0</v>
          </cell>
        </row>
        <row r="195">
          <cell r="F195">
            <v>1763846</v>
          </cell>
        </row>
        <row r="196">
          <cell r="F196">
            <v>333822</v>
          </cell>
        </row>
        <row r="197">
          <cell r="F197">
            <v>516</v>
          </cell>
        </row>
        <row r="198">
          <cell r="F198">
            <v>86160</v>
          </cell>
        </row>
        <row r="199">
          <cell r="F199">
            <v>46335</v>
          </cell>
        </row>
        <row r="200">
          <cell r="F200">
            <v>2230679</v>
          </cell>
        </row>
        <row r="204">
          <cell r="F204">
            <v>291053</v>
          </cell>
        </row>
        <row r="205">
          <cell r="F205">
            <v>8101</v>
          </cell>
        </row>
        <row r="206">
          <cell r="F206">
            <v>451271</v>
          </cell>
        </row>
        <row r="207">
          <cell r="F207">
            <v>978404</v>
          </cell>
        </row>
        <row r="208">
          <cell r="F208">
            <v>1450174</v>
          </cell>
        </row>
        <row r="209">
          <cell r="F209">
            <v>18641</v>
          </cell>
        </row>
        <row r="210">
          <cell r="F210">
            <v>3197644</v>
          </cell>
        </row>
        <row r="213">
          <cell r="F213">
            <v>747163</v>
          </cell>
        </row>
        <row r="214">
          <cell r="F214">
            <v>131123</v>
          </cell>
        </row>
        <row r="215">
          <cell r="F215">
            <v>39098250</v>
          </cell>
        </row>
        <row r="216">
          <cell r="F216">
            <v>2962731</v>
          </cell>
        </row>
        <row r="217">
          <cell r="F217">
            <v>1250279</v>
          </cell>
        </row>
        <row r="218">
          <cell r="F218">
            <v>1273097</v>
          </cell>
        </row>
        <row r="219">
          <cell r="F219">
            <v>45462643</v>
          </cell>
        </row>
        <row r="222">
          <cell r="F222">
            <v>103472</v>
          </cell>
        </row>
        <row r="223">
          <cell r="F223">
            <v>26423</v>
          </cell>
        </row>
        <row r="224">
          <cell r="F224">
            <v>15794255</v>
          </cell>
        </row>
        <row r="225">
          <cell r="F225">
            <v>710819</v>
          </cell>
        </row>
        <row r="226">
          <cell r="F226">
            <v>165114</v>
          </cell>
        </row>
        <row r="227">
          <cell r="F227">
            <v>0</v>
          </cell>
        </row>
        <row r="228">
          <cell r="F228">
            <v>16800083</v>
          </cell>
        </row>
        <row r="231">
          <cell r="F231">
            <v>306313</v>
          </cell>
        </row>
        <row r="232">
          <cell r="F232">
            <v>0</v>
          </cell>
        </row>
        <row r="233">
          <cell r="F233">
            <v>22889701</v>
          </cell>
        </row>
        <row r="234">
          <cell r="F234">
            <v>2251912</v>
          </cell>
        </row>
        <row r="235">
          <cell r="F235">
            <v>1085165</v>
          </cell>
        </row>
        <row r="236">
          <cell r="F236">
            <v>51305</v>
          </cell>
        </row>
        <row r="237">
          <cell r="F237">
            <v>26584396</v>
          </cell>
        </row>
        <row r="240">
          <cell r="F240">
            <v>337378</v>
          </cell>
        </row>
        <row r="241">
          <cell r="F241">
            <v>104700</v>
          </cell>
        </row>
        <row r="242">
          <cell r="F242">
            <v>414294</v>
          </cell>
        </row>
        <row r="243">
          <cell r="F243">
            <v>0</v>
          </cell>
        </row>
        <row r="244">
          <cell r="F244">
            <v>0</v>
          </cell>
        </row>
        <row r="245">
          <cell r="F245">
            <v>1221792</v>
          </cell>
        </row>
        <row r="246">
          <cell r="F246">
            <v>2078164</v>
          </cell>
        </row>
        <row r="249">
          <cell r="F249">
            <v>327242</v>
          </cell>
        </row>
        <row r="250">
          <cell r="F250">
            <v>2779</v>
          </cell>
        </row>
        <row r="251">
          <cell r="F251">
            <v>10860801</v>
          </cell>
        </row>
        <row r="252">
          <cell r="F252">
            <v>6673519</v>
          </cell>
        </row>
        <row r="253">
          <cell r="F253">
            <v>0</v>
          </cell>
        </row>
        <row r="254">
          <cell r="F254">
            <v>352350</v>
          </cell>
        </row>
        <row r="255">
          <cell r="F255">
            <v>18216691</v>
          </cell>
        </row>
        <row r="258">
          <cell r="F258">
            <v>45269</v>
          </cell>
        </row>
        <row r="259">
          <cell r="F259">
            <v>0</v>
          </cell>
        </row>
        <row r="260">
          <cell r="F260">
            <v>61982</v>
          </cell>
        </row>
        <row r="261">
          <cell r="F261">
            <v>3016572</v>
          </cell>
        </row>
        <row r="262">
          <cell r="F262">
            <v>367955</v>
          </cell>
        </row>
        <row r="263">
          <cell r="F263">
            <v>79441</v>
          </cell>
        </row>
        <row r="264">
          <cell r="F264">
            <v>3571219</v>
          </cell>
        </row>
        <row r="267">
          <cell r="F267">
            <v>8994</v>
          </cell>
        </row>
        <row r="268">
          <cell r="F268">
            <v>0</v>
          </cell>
        </row>
        <row r="269">
          <cell r="F269">
            <v>10229</v>
          </cell>
        </row>
        <row r="270">
          <cell r="F270">
            <v>379428</v>
          </cell>
        </row>
        <row r="271">
          <cell r="F271">
            <v>18317</v>
          </cell>
        </row>
        <row r="272">
          <cell r="F272">
            <v>0</v>
          </cell>
        </row>
        <row r="273">
          <cell r="F273">
            <v>416968</v>
          </cell>
        </row>
        <row r="276">
          <cell r="F276">
            <v>8518</v>
          </cell>
        </row>
        <row r="277">
          <cell r="F277">
            <v>0</v>
          </cell>
        </row>
        <row r="278">
          <cell r="F278">
            <v>6648</v>
          </cell>
        </row>
        <row r="279">
          <cell r="F279">
            <v>439171</v>
          </cell>
        </row>
        <row r="280">
          <cell r="F280">
            <v>18318</v>
          </cell>
        </row>
        <row r="281">
          <cell r="F281">
            <v>0</v>
          </cell>
        </row>
        <row r="282">
          <cell r="F282">
            <v>472655</v>
          </cell>
        </row>
        <row r="285">
          <cell r="F285">
            <v>8518</v>
          </cell>
        </row>
        <row r="286">
          <cell r="F286">
            <v>0</v>
          </cell>
        </row>
        <row r="287">
          <cell r="F287">
            <v>40784</v>
          </cell>
        </row>
        <row r="288">
          <cell r="F288">
            <v>400270</v>
          </cell>
        </row>
        <row r="289">
          <cell r="F289">
            <v>18317</v>
          </cell>
        </row>
        <row r="290">
          <cell r="F290">
            <v>0</v>
          </cell>
        </row>
        <row r="291">
          <cell r="F291">
            <v>467889</v>
          </cell>
        </row>
        <row r="294">
          <cell r="F294">
            <v>19239</v>
          </cell>
        </row>
        <row r="295">
          <cell r="F295">
            <v>0</v>
          </cell>
        </row>
        <row r="296">
          <cell r="F296">
            <v>4321</v>
          </cell>
        </row>
        <row r="297">
          <cell r="F297">
            <v>1797703</v>
          </cell>
        </row>
        <row r="298">
          <cell r="F298">
            <v>313003</v>
          </cell>
        </row>
        <row r="299">
          <cell r="F299">
            <v>79441</v>
          </cell>
        </row>
        <row r="300">
          <cell r="F300">
            <v>2213707</v>
          </cell>
        </row>
        <row r="303">
          <cell r="F303">
            <v>1612</v>
          </cell>
        </row>
        <row r="304">
          <cell r="F304">
            <v>0</v>
          </cell>
        </row>
        <row r="305">
          <cell r="F305">
            <v>13797</v>
          </cell>
        </row>
        <row r="306">
          <cell r="F306">
            <v>1008921</v>
          </cell>
        </row>
        <row r="307">
          <cell r="F307">
            <v>350594</v>
          </cell>
        </row>
        <row r="308">
          <cell r="F308">
            <v>0</v>
          </cell>
        </row>
        <row r="309">
          <cell r="F309">
            <v>1374924</v>
          </cell>
        </row>
        <row r="312">
          <cell r="F312">
            <v>806</v>
          </cell>
        </row>
        <row r="313">
          <cell r="F313">
            <v>0</v>
          </cell>
        </row>
        <row r="314">
          <cell r="F314">
            <v>8694</v>
          </cell>
        </row>
        <row r="315">
          <cell r="F315">
            <v>313585</v>
          </cell>
        </row>
        <row r="316">
          <cell r="F316">
            <v>157601</v>
          </cell>
        </row>
        <row r="317">
          <cell r="F317">
            <v>0</v>
          </cell>
        </row>
        <row r="318">
          <cell r="F318">
            <v>480686</v>
          </cell>
        </row>
        <row r="321">
          <cell r="F321">
            <v>806</v>
          </cell>
        </row>
        <row r="322">
          <cell r="F322">
            <v>0</v>
          </cell>
        </row>
        <row r="323">
          <cell r="F323">
            <v>5103</v>
          </cell>
        </row>
        <row r="324">
          <cell r="F324">
            <v>695336</v>
          </cell>
        </row>
        <row r="325">
          <cell r="F325">
            <v>192993</v>
          </cell>
        </row>
        <row r="326">
          <cell r="F326">
            <v>0</v>
          </cell>
        </row>
        <row r="327">
          <cell r="F327">
            <v>894238</v>
          </cell>
        </row>
        <row r="330">
          <cell r="F330">
            <v>0</v>
          </cell>
        </row>
        <row r="331">
          <cell r="F331">
            <v>0</v>
          </cell>
        </row>
        <row r="332">
          <cell r="F332">
            <v>0</v>
          </cell>
        </row>
        <row r="333">
          <cell r="F333">
            <v>474310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>
            <v>474310</v>
          </cell>
        </row>
        <row r="339">
          <cell r="F339">
            <v>0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474310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474310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>
            <v>0</v>
          </cell>
        </row>
        <row r="352">
          <cell r="F352">
            <v>0</v>
          </cell>
        </row>
        <row r="353">
          <cell r="F353">
            <v>0</v>
          </cell>
        </row>
        <row r="354">
          <cell r="F354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>
            <v>0</v>
          </cell>
        </row>
        <row r="360">
          <cell r="F360">
            <v>0</v>
          </cell>
        </row>
        <row r="361">
          <cell r="F361">
            <v>0</v>
          </cell>
        </row>
        <row r="362">
          <cell r="F362">
            <v>0</v>
          </cell>
        </row>
        <row r="363">
          <cell r="F363">
            <v>0</v>
          </cell>
        </row>
        <row r="366">
          <cell r="F366">
            <v>0</v>
          </cell>
        </row>
        <row r="367">
          <cell r="F367">
            <v>0</v>
          </cell>
        </row>
        <row r="368">
          <cell r="F368">
            <v>0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4">
          <cell r="F374">
            <v>0</v>
          </cell>
        </row>
        <row r="375">
          <cell r="F375">
            <v>0</v>
          </cell>
        </row>
        <row r="376">
          <cell r="F376">
            <v>0</v>
          </cell>
        </row>
        <row r="377">
          <cell r="F377">
            <v>0</v>
          </cell>
        </row>
        <row r="378">
          <cell r="F378">
            <v>0</v>
          </cell>
        </row>
        <row r="379">
          <cell r="F379">
            <v>0</v>
          </cell>
        </row>
        <row r="382">
          <cell r="F382">
            <v>650939</v>
          </cell>
        </row>
        <row r="383">
          <cell r="F383">
            <v>2594589</v>
          </cell>
        </row>
        <row r="384">
          <cell r="F384">
            <v>0</v>
          </cell>
        </row>
        <row r="385">
          <cell r="F385">
            <v>0</v>
          </cell>
        </row>
        <row r="386">
          <cell r="F386">
            <v>10229</v>
          </cell>
        </row>
        <row r="387">
          <cell r="F387">
            <v>0</v>
          </cell>
        </row>
        <row r="388">
          <cell r="F388">
            <v>0</v>
          </cell>
        </row>
        <row r="389">
          <cell r="F389">
            <v>0</v>
          </cell>
        </row>
        <row r="390">
          <cell r="F390">
            <v>0</v>
          </cell>
        </row>
        <row r="391">
          <cell r="F391">
            <v>0</v>
          </cell>
        </row>
        <row r="392">
          <cell r="F392">
            <v>0</v>
          </cell>
        </row>
        <row r="393">
          <cell r="F393">
            <v>0</v>
          </cell>
        </row>
        <row r="394">
          <cell r="F394">
            <v>0</v>
          </cell>
        </row>
        <row r="395">
          <cell r="F395">
            <v>3255757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P J832-835"/>
      <sheetName val="489 T1 Transport"/>
      <sheetName val="9-07 TME Detail"/>
      <sheetName val="10-06"/>
      <sheetName val="11-06"/>
      <sheetName val="12-06"/>
      <sheetName val="1-07"/>
      <sheetName val="2-07"/>
      <sheetName val="3-07"/>
      <sheetName val="4-07"/>
      <sheetName val="5-07"/>
      <sheetName val="6-07"/>
      <sheetName val="7-07"/>
      <sheetName val="8-07"/>
      <sheetName val="9-07"/>
      <sheetName val="10-06 Detail"/>
      <sheetName val="11-06 Detail"/>
      <sheetName val="12-06 Detail"/>
      <sheetName val="1-07 Detail"/>
      <sheetName val="2-07 Detail"/>
      <sheetName val="3-07 Detail"/>
      <sheetName val="4-07 Detail"/>
      <sheetName val="5-07 Detail"/>
      <sheetName val="6-07 Detail"/>
      <sheetName val="7-07 Detail"/>
      <sheetName val="8-07 Detail"/>
      <sheetName val="CODE"/>
      <sheetName val="9-07 Detail"/>
      <sheetName val="TME Month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WROWS1"/>
      <sheetName val="RWRACCTS1"/>
      <sheetName val="RWRCALCS1"/>
      <sheetName val="RWCOLUMNS1"/>
      <sheetName val="RWCACCTS1"/>
      <sheetName val="RWCCALCS1"/>
      <sheetName val="RWCEXCEPTIONS1"/>
      <sheetName val="RWCEXCEPTIONSDETAIL1"/>
      <sheetName val="RWROWORDERS1"/>
      <sheetName val="RWCONTENTS1"/>
      <sheetName val="RWDISPLAYROWS1"/>
      <sheetName val="RWDISPLAYCOLS1"/>
      <sheetName val="RWCONTROLVALUES1"/>
      <sheetName val="RWREPORT1"/>
      <sheetName val="CRITERIA1"/>
      <sheetName val="Cons IS"/>
      <sheetName val="Consol Adj."/>
      <sheetName val="CODE"/>
      <sheetName val="RE Recon."/>
      <sheetName val="MTD"/>
      <sheetName val="YTD"/>
      <sheetName val="TME"/>
      <sheetName val="3 MOE"/>
      <sheetName val="Module1"/>
      <sheetName val="Cons_IS"/>
      <sheetName val="Consol_Adj_"/>
      <sheetName val="RE_Recon_"/>
      <sheetName val="3_MOE"/>
      <sheetName val="Dimens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92"/>
      <sheetName val="GEN'L"/>
      <sheetName val="Navajo"/>
      <sheetName val="San Juan"/>
      <sheetName val="Spvl"/>
      <sheetName val="Irvington"/>
      <sheetName val="111"/>
      <sheetName val="111 Monthly"/>
      <sheetName val="Tran"/>
      <sheetName val="Dist"/>
      <sheetName val="REPORT"/>
      <sheetName val="DEP-1"/>
      <sheetName val="DEP108 - CR"/>
      <sheetName val="DEP303"/>
      <sheetName val="DEPDist"/>
      <sheetName val="Backup-105-97"/>
      <sheetName val="Surcharge Summary"/>
      <sheetName val="Summary"/>
      <sheetName val="Rate Design Details"/>
      <sheetName val="Accounting Data"/>
      <sheetName val="Worksheet"/>
      <sheetName val="Citizens Electric Tariffs"/>
      <sheetName val="PPFAC"/>
      <sheetName val="San_Juan"/>
      <sheetName val="111_Monthly"/>
      <sheetName val="DEP108_-_CR"/>
      <sheetName val="Surcharge_Summary"/>
      <sheetName val="Rate_Design_Details"/>
      <sheetName val="Accounting_Data"/>
      <sheetName val="Citizens_Electric_Tarif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6">
          <cell r="A16" t="str">
            <v>310 LAND &amp; LAND RIGHTS</v>
          </cell>
        </row>
        <row r="17">
          <cell r="A17">
            <v>310</v>
          </cell>
          <cell r="B17" t="str">
            <v>NV</v>
          </cell>
          <cell r="F17">
            <v>-10542</v>
          </cell>
        </row>
        <row r="18">
          <cell r="A18">
            <v>310</v>
          </cell>
          <cell r="B18" t="str">
            <v>SC1</v>
          </cell>
          <cell r="F18">
            <v>-700036</v>
          </cell>
        </row>
        <row r="19">
          <cell r="A19">
            <v>310</v>
          </cell>
          <cell r="B19" t="str">
            <v>SP</v>
          </cell>
          <cell r="F19">
            <v>-467130</v>
          </cell>
        </row>
        <row r="20">
          <cell r="A20" t="str">
            <v>*TOTAL**</v>
          </cell>
          <cell r="F20">
            <v>-1177708</v>
          </cell>
        </row>
        <row r="22">
          <cell r="A22" t="str">
            <v xml:space="preserve"> </v>
          </cell>
        </row>
        <row r="23">
          <cell r="A23" t="str">
            <v>DEMOSS PETRIE UNIT 1</v>
          </cell>
        </row>
        <row r="24">
          <cell r="A24">
            <v>311</v>
          </cell>
          <cell r="B24" t="str">
            <v>DM1</v>
          </cell>
          <cell r="C24" t="str">
            <v>UTIL</v>
          </cell>
          <cell r="F24">
            <v>104312.65</v>
          </cell>
        </row>
        <row r="25">
          <cell r="A25">
            <v>312</v>
          </cell>
          <cell r="B25" t="str">
            <v>DM1</v>
          </cell>
          <cell r="C25" t="str">
            <v>UTIL</v>
          </cell>
          <cell r="F25">
            <v>-59177.19</v>
          </cell>
        </row>
        <row r="26">
          <cell r="A26">
            <v>314</v>
          </cell>
          <cell r="B26" t="str">
            <v>DM1</v>
          </cell>
          <cell r="C26" t="str">
            <v>UTIL</v>
          </cell>
          <cell r="F26">
            <v>82740.14</v>
          </cell>
        </row>
        <row r="27">
          <cell r="A27">
            <v>315</v>
          </cell>
          <cell r="B27" t="str">
            <v>DM1</v>
          </cell>
          <cell r="C27" t="str">
            <v>UTIL</v>
          </cell>
          <cell r="F27">
            <v>-49554.8</v>
          </cell>
        </row>
        <row r="28">
          <cell r="A28">
            <v>316</v>
          </cell>
          <cell r="B28" t="str">
            <v>DM1</v>
          </cell>
          <cell r="C28" t="str">
            <v>UTIL</v>
          </cell>
          <cell r="F28">
            <v>-3446.99</v>
          </cell>
        </row>
        <row r="29">
          <cell r="A29" t="str">
            <v>*TOTAL**</v>
          </cell>
          <cell r="F29">
            <v>74873.809999999983</v>
          </cell>
        </row>
        <row r="32">
          <cell r="A32" t="str">
            <v>DEMOSS PETRIE UNIT 2</v>
          </cell>
        </row>
        <row r="33">
          <cell r="A33">
            <v>311</v>
          </cell>
          <cell r="B33" t="str">
            <v>DM2</v>
          </cell>
          <cell r="C33" t="str">
            <v>UTIL</v>
          </cell>
          <cell r="F33">
            <v>133677.1</v>
          </cell>
        </row>
        <row r="34">
          <cell r="A34">
            <v>312</v>
          </cell>
          <cell r="B34" t="str">
            <v>DM2</v>
          </cell>
          <cell r="C34" t="str">
            <v>UTIL</v>
          </cell>
          <cell r="F34">
            <v>-59631.99</v>
          </cell>
        </row>
        <row r="35">
          <cell r="A35">
            <v>314</v>
          </cell>
          <cell r="B35" t="str">
            <v>DM2</v>
          </cell>
          <cell r="C35" t="str">
            <v>UTIL</v>
          </cell>
          <cell r="F35">
            <v>28803.34</v>
          </cell>
        </row>
        <row r="36">
          <cell r="A36">
            <v>315</v>
          </cell>
          <cell r="B36" t="str">
            <v>DM2</v>
          </cell>
          <cell r="C36" t="str">
            <v>UTIL</v>
          </cell>
          <cell r="F36">
            <v>-50722.8</v>
          </cell>
        </row>
        <row r="37">
          <cell r="A37">
            <v>316</v>
          </cell>
          <cell r="B37" t="str">
            <v>DM2</v>
          </cell>
          <cell r="C37" t="str">
            <v>UTIL</v>
          </cell>
          <cell r="F37">
            <v>-3535.45</v>
          </cell>
        </row>
        <row r="38">
          <cell r="A38" t="str">
            <v>**TOTAL**</v>
          </cell>
          <cell r="F38">
            <v>48590.200000000012</v>
          </cell>
        </row>
        <row r="41">
          <cell r="A41" t="str">
            <v>DEMOSS PETRIE UNIT 3</v>
          </cell>
        </row>
        <row r="42">
          <cell r="A42">
            <v>311</v>
          </cell>
          <cell r="B42" t="str">
            <v>DM3</v>
          </cell>
          <cell r="C42" t="str">
            <v>UTIL</v>
          </cell>
          <cell r="F42">
            <v>129824.42</v>
          </cell>
        </row>
        <row r="43">
          <cell r="A43">
            <v>312</v>
          </cell>
          <cell r="B43" t="str">
            <v>DM3</v>
          </cell>
          <cell r="C43" t="str">
            <v>UTIL</v>
          </cell>
          <cell r="F43">
            <v>-178340.1</v>
          </cell>
        </row>
        <row r="44">
          <cell r="A44">
            <v>314</v>
          </cell>
          <cell r="B44" t="str">
            <v>DM3</v>
          </cell>
          <cell r="C44" t="str">
            <v>UTIL</v>
          </cell>
          <cell r="F44">
            <v>65456.04</v>
          </cell>
        </row>
        <row r="45">
          <cell r="A45">
            <v>315</v>
          </cell>
          <cell r="B45" t="str">
            <v>DM3</v>
          </cell>
          <cell r="C45" t="str">
            <v>UTIL</v>
          </cell>
          <cell r="F45">
            <v>-52018.33</v>
          </cell>
        </row>
        <row r="46">
          <cell r="A46">
            <v>316</v>
          </cell>
          <cell r="B46" t="str">
            <v>DM3</v>
          </cell>
          <cell r="C46" t="str">
            <v>UTIL</v>
          </cell>
          <cell r="F46">
            <v>-6447.63</v>
          </cell>
        </row>
        <row r="47">
          <cell r="F47">
            <v>-41525.600000000006</v>
          </cell>
        </row>
        <row r="50">
          <cell r="A50" t="str">
            <v>DEMOSS PETRIE UNIT 4</v>
          </cell>
        </row>
        <row r="51">
          <cell r="A51">
            <v>311</v>
          </cell>
          <cell r="B51" t="str">
            <v>DM4</v>
          </cell>
          <cell r="C51" t="str">
            <v>UTIL</v>
          </cell>
          <cell r="F51">
            <v>56536.65</v>
          </cell>
        </row>
        <row r="52">
          <cell r="A52">
            <v>312</v>
          </cell>
          <cell r="B52" t="str">
            <v>DM4</v>
          </cell>
          <cell r="C52" t="str">
            <v>UTIL</v>
          </cell>
          <cell r="F52">
            <v>-493993.79</v>
          </cell>
        </row>
        <row r="53">
          <cell r="A53">
            <v>314</v>
          </cell>
          <cell r="B53" t="str">
            <v>DM4</v>
          </cell>
          <cell r="C53" t="str">
            <v>UTIL</v>
          </cell>
          <cell r="F53">
            <v>-1044401.09</v>
          </cell>
        </row>
        <row r="54">
          <cell r="A54">
            <v>315</v>
          </cell>
          <cell r="B54" t="str">
            <v>DM4</v>
          </cell>
          <cell r="C54" t="str">
            <v>UTIL</v>
          </cell>
          <cell r="F54">
            <v>-131354.92000000001</v>
          </cell>
        </row>
        <row r="55">
          <cell r="A55">
            <v>316</v>
          </cell>
          <cell r="B55" t="str">
            <v>DM4</v>
          </cell>
          <cell r="C55" t="str">
            <v>UTIL</v>
          </cell>
          <cell r="F55">
            <v>-6285.71</v>
          </cell>
        </row>
        <row r="56">
          <cell r="A56" t="str">
            <v>**TOTAL**</v>
          </cell>
          <cell r="F56">
            <v>-1619498.8599999999</v>
          </cell>
        </row>
        <row r="58">
          <cell r="A58" t="str">
            <v>TOTAL DEMOSS PETRIE</v>
          </cell>
          <cell r="F58">
            <v>-1537560.45</v>
          </cell>
        </row>
        <row r="60">
          <cell r="A60" t="str">
            <v>FOUR CORNERS UNIT 4</v>
          </cell>
        </row>
        <row r="61">
          <cell r="A61">
            <v>311</v>
          </cell>
          <cell r="B61" t="str">
            <v>FC4</v>
          </cell>
          <cell r="C61" t="str">
            <v>UTIL</v>
          </cell>
          <cell r="F61">
            <v>-582216</v>
          </cell>
        </row>
        <row r="62">
          <cell r="A62">
            <v>312</v>
          </cell>
          <cell r="B62" t="str">
            <v>FC4</v>
          </cell>
          <cell r="C62" t="str">
            <v>PART</v>
          </cell>
          <cell r="F62">
            <v>-18784119.120000001</v>
          </cell>
        </row>
        <row r="63">
          <cell r="A63">
            <v>312</v>
          </cell>
          <cell r="B63" t="str">
            <v>FC4</v>
          </cell>
          <cell r="C63" t="str">
            <v>UTIL</v>
          </cell>
          <cell r="D63" t="str">
            <v xml:space="preserve"> </v>
          </cell>
          <cell r="F63">
            <v>-7680985</v>
          </cell>
        </row>
        <row r="64">
          <cell r="A64">
            <v>314</v>
          </cell>
          <cell r="B64" t="str">
            <v>FC4</v>
          </cell>
          <cell r="C64" t="str">
            <v>UTIL</v>
          </cell>
          <cell r="F64">
            <v>-3293676</v>
          </cell>
        </row>
        <row r="65">
          <cell r="A65">
            <v>315</v>
          </cell>
          <cell r="B65" t="str">
            <v>FC4</v>
          </cell>
          <cell r="C65" t="str">
            <v>UTIL</v>
          </cell>
          <cell r="F65">
            <v>-436116</v>
          </cell>
        </row>
        <row r="66">
          <cell r="A66">
            <v>316</v>
          </cell>
          <cell r="B66" t="str">
            <v>FC4</v>
          </cell>
          <cell r="C66" t="str">
            <v>UTIL</v>
          </cell>
          <cell r="F66">
            <v>-509627.38</v>
          </cell>
        </row>
        <row r="67">
          <cell r="A67" t="str">
            <v>**TOTAL**</v>
          </cell>
          <cell r="F67">
            <v>-31286739.5</v>
          </cell>
        </row>
        <row r="70">
          <cell r="A70" t="str">
            <v>FOUR CORNERS UNIT 5</v>
          </cell>
        </row>
        <row r="71">
          <cell r="A71">
            <v>311</v>
          </cell>
          <cell r="B71" t="str">
            <v>FC5</v>
          </cell>
          <cell r="C71" t="str">
            <v>UTIL</v>
          </cell>
          <cell r="F71">
            <v>-545758</v>
          </cell>
        </row>
        <row r="72">
          <cell r="A72">
            <v>312</v>
          </cell>
          <cell r="B72" t="str">
            <v>FC5</v>
          </cell>
          <cell r="C72" t="str">
            <v>PART</v>
          </cell>
          <cell r="F72">
            <v>-17416374.109999999</v>
          </cell>
        </row>
        <row r="73">
          <cell r="A73">
            <v>312</v>
          </cell>
          <cell r="B73" t="str">
            <v>FC5</v>
          </cell>
          <cell r="C73" t="str">
            <v>UTIL</v>
          </cell>
          <cell r="D73" t="str">
            <v xml:space="preserve"> </v>
          </cell>
          <cell r="F73">
            <v>-5983338.1699999999</v>
          </cell>
        </row>
        <row r="74">
          <cell r="A74">
            <v>314</v>
          </cell>
          <cell r="B74" t="str">
            <v>FC5</v>
          </cell>
          <cell r="C74" t="str">
            <v>UTIL</v>
          </cell>
          <cell r="F74">
            <v>-2531524.58</v>
          </cell>
        </row>
        <row r="75">
          <cell r="A75">
            <v>315</v>
          </cell>
          <cell r="B75" t="str">
            <v>FC5</v>
          </cell>
          <cell r="C75" t="str">
            <v>UTIL</v>
          </cell>
          <cell r="F75">
            <v>-391391</v>
          </cell>
        </row>
        <row r="76">
          <cell r="A76">
            <v>316</v>
          </cell>
          <cell r="B76" t="str">
            <v>FC5</v>
          </cell>
          <cell r="C76" t="str">
            <v>UTIL</v>
          </cell>
          <cell r="F76">
            <v>-506357.72</v>
          </cell>
        </row>
        <row r="77">
          <cell r="A77" t="str">
            <v>**TOTAL**</v>
          </cell>
          <cell r="F77">
            <v>-27374743.579999998</v>
          </cell>
        </row>
        <row r="79">
          <cell r="A79" t="str">
            <v>TOTAL FOUR CORNERS</v>
          </cell>
          <cell r="F79">
            <v>-58661483.079999998</v>
          </cell>
        </row>
        <row r="81">
          <cell r="A81" t="str">
            <v>IRVINGTON UNIT 1</v>
          </cell>
        </row>
        <row r="82">
          <cell r="A82">
            <v>311</v>
          </cell>
          <cell r="B82" t="str">
            <v>IV1</v>
          </cell>
          <cell r="C82" t="str">
            <v>UTIL</v>
          </cell>
          <cell r="F82">
            <v>-1777921.93</v>
          </cell>
        </row>
        <row r="83">
          <cell r="A83">
            <v>312</v>
          </cell>
          <cell r="B83" t="str">
            <v>IV1</v>
          </cell>
          <cell r="C83" t="str">
            <v>UTIL</v>
          </cell>
          <cell r="D83" t="str">
            <v xml:space="preserve"> </v>
          </cell>
          <cell r="F83">
            <v>-6193357.5300000003</v>
          </cell>
        </row>
        <row r="84">
          <cell r="A84">
            <v>314</v>
          </cell>
          <cell r="B84" t="str">
            <v>IV1</v>
          </cell>
          <cell r="C84" t="str">
            <v>UTIL</v>
          </cell>
          <cell r="F84">
            <v>-4313878</v>
          </cell>
        </row>
        <row r="85">
          <cell r="A85">
            <v>315</v>
          </cell>
          <cell r="B85" t="str">
            <v>IV1</v>
          </cell>
          <cell r="C85" t="str">
            <v>UTIL</v>
          </cell>
          <cell r="F85">
            <v>-955693.19</v>
          </cell>
        </row>
        <row r="86">
          <cell r="A86">
            <v>316</v>
          </cell>
          <cell r="B86" t="str">
            <v>IV1</v>
          </cell>
          <cell r="C86" t="str">
            <v>UTIL</v>
          </cell>
          <cell r="F86">
            <v>-114018.39</v>
          </cell>
        </row>
        <row r="87">
          <cell r="A87" t="str">
            <v>**TOTAL**</v>
          </cell>
          <cell r="F87">
            <v>-13354869.040000001</v>
          </cell>
        </row>
        <row r="90">
          <cell r="A90" t="str">
            <v>IRVINGTON UNIT 2</v>
          </cell>
        </row>
        <row r="91">
          <cell r="A91">
            <v>311</v>
          </cell>
          <cell r="B91" t="str">
            <v>IV2</v>
          </cell>
          <cell r="C91" t="str">
            <v>UTIL</v>
          </cell>
          <cell r="F91">
            <v>-930145.98</v>
          </cell>
        </row>
        <row r="92">
          <cell r="A92">
            <v>312</v>
          </cell>
          <cell r="B92" t="str">
            <v>IV2</v>
          </cell>
          <cell r="C92" t="str">
            <v>UTIL</v>
          </cell>
          <cell r="D92" t="str">
            <v xml:space="preserve"> </v>
          </cell>
          <cell r="F92">
            <v>-5106513.6399999997</v>
          </cell>
        </row>
        <row r="93">
          <cell r="A93">
            <v>314</v>
          </cell>
          <cell r="B93" t="str">
            <v>IV2</v>
          </cell>
          <cell r="C93" t="str">
            <v>UTIL</v>
          </cell>
          <cell r="F93">
            <v>-4556726.62</v>
          </cell>
        </row>
        <row r="94">
          <cell r="A94">
            <v>315</v>
          </cell>
          <cell r="B94" t="str">
            <v>IV2</v>
          </cell>
          <cell r="C94" t="str">
            <v>UTIL</v>
          </cell>
          <cell r="F94">
            <v>-844648.19</v>
          </cell>
        </row>
        <row r="95">
          <cell r="A95">
            <v>316</v>
          </cell>
          <cell r="B95" t="str">
            <v>IV2</v>
          </cell>
          <cell r="C95" t="str">
            <v>UTIL</v>
          </cell>
          <cell r="F95">
            <v>-83746.41</v>
          </cell>
        </row>
        <row r="96">
          <cell r="A96" t="str">
            <v>**TOTAL**</v>
          </cell>
          <cell r="F96">
            <v>-11521780.839999998</v>
          </cell>
        </row>
        <row r="99">
          <cell r="A99" t="str">
            <v>IRVINGTON UNIT 3</v>
          </cell>
        </row>
        <row r="100">
          <cell r="A100">
            <v>311</v>
          </cell>
          <cell r="B100" t="str">
            <v>IV3</v>
          </cell>
          <cell r="C100" t="str">
            <v>UTIL</v>
          </cell>
          <cell r="F100">
            <v>-1143977.31</v>
          </cell>
        </row>
        <row r="101">
          <cell r="A101">
            <v>312</v>
          </cell>
          <cell r="B101" t="str">
            <v>IV3</v>
          </cell>
          <cell r="C101" t="str">
            <v>UTIL</v>
          </cell>
          <cell r="D101" t="str">
            <v xml:space="preserve"> </v>
          </cell>
          <cell r="F101">
            <v>-5303837.25</v>
          </cell>
        </row>
        <row r="102">
          <cell r="A102">
            <v>314</v>
          </cell>
          <cell r="B102" t="str">
            <v>IV3</v>
          </cell>
          <cell r="C102" t="str">
            <v>UTIL</v>
          </cell>
          <cell r="F102">
            <v>-4996250</v>
          </cell>
        </row>
        <row r="103">
          <cell r="A103">
            <v>315</v>
          </cell>
          <cell r="B103" t="str">
            <v>IV3</v>
          </cell>
          <cell r="C103" t="str">
            <v>UTIL</v>
          </cell>
          <cell r="F103">
            <v>-803141.18</v>
          </cell>
        </row>
        <row r="104">
          <cell r="A104">
            <v>316</v>
          </cell>
          <cell r="B104" t="str">
            <v>IV3</v>
          </cell>
          <cell r="C104" t="str">
            <v>UTIL</v>
          </cell>
          <cell r="F104">
            <v>-127737.79</v>
          </cell>
        </row>
        <row r="105">
          <cell r="A105" t="str">
            <v>**TOTAL**</v>
          </cell>
          <cell r="F105">
            <v>-12374943.529999999</v>
          </cell>
        </row>
        <row r="108">
          <cell r="A108" t="str">
            <v>IRV. UNIT #3  COAL CONV.</v>
          </cell>
        </row>
        <row r="109">
          <cell r="A109">
            <v>311</v>
          </cell>
          <cell r="F109">
            <v>32052.61</v>
          </cell>
        </row>
        <row r="110">
          <cell r="A110">
            <v>312</v>
          </cell>
          <cell r="F110">
            <v>367050.58</v>
          </cell>
        </row>
        <row r="111">
          <cell r="A111">
            <v>314</v>
          </cell>
        </row>
        <row r="112">
          <cell r="A112">
            <v>315</v>
          </cell>
        </row>
        <row r="113">
          <cell r="A113">
            <v>316</v>
          </cell>
        </row>
        <row r="114">
          <cell r="A114" t="str">
            <v>**TOTAL**</v>
          </cell>
          <cell r="F114">
            <v>399103.19</v>
          </cell>
        </row>
        <row r="117">
          <cell r="A117" t="str">
            <v>IRV. UNIT #4</v>
          </cell>
        </row>
        <row r="118">
          <cell r="A118">
            <v>311</v>
          </cell>
        </row>
        <row r="119">
          <cell r="A119">
            <v>312</v>
          </cell>
          <cell r="F119">
            <v>380841.16</v>
          </cell>
        </row>
        <row r="120">
          <cell r="A120">
            <v>314</v>
          </cell>
          <cell r="F120">
            <v>-193.27</v>
          </cell>
        </row>
        <row r="121">
          <cell r="A121">
            <v>315</v>
          </cell>
        </row>
        <row r="122">
          <cell r="A122">
            <v>316</v>
          </cell>
          <cell r="F122">
            <v>-124.32</v>
          </cell>
        </row>
        <row r="123">
          <cell r="A123" t="str">
            <v>**TOTAL**</v>
          </cell>
          <cell r="F123">
            <v>380523.56999999995</v>
          </cell>
        </row>
        <row r="126">
          <cell r="A126" t="str">
            <v>TOTAL IRVINGTON</v>
          </cell>
          <cell r="F126">
            <v>-36471966.649999999</v>
          </cell>
        </row>
        <row r="128">
          <cell r="A128" t="str">
            <v>NAVAJO UNIT 1</v>
          </cell>
        </row>
        <row r="129">
          <cell r="A129">
            <v>311</v>
          </cell>
          <cell r="B129" t="str">
            <v>NV1</v>
          </cell>
          <cell r="C129" t="str">
            <v>UTIL</v>
          </cell>
          <cell r="F129">
            <v>-1771887.11</v>
          </cell>
        </row>
        <row r="130">
          <cell r="A130">
            <v>312</v>
          </cell>
          <cell r="B130" t="str">
            <v>NV1</v>
          </cell>
          <cell r="C130" t="str">
            <v>RLRD</v>
          </cell>
          <cell r="F130">
            <v>-1231677</v>
          </cell>
        </row>
        <row r="131">
          <cell r="A131">
            <v>312</v>
          </cell>
          <cell r="B131" t="str">
            <v>NV1</v>
          </cell>
          <cell r="C131" t="str">
            <v>SO2</v>
          </cell>
          <cell r="F131">
            <v>-2</v>
          </cell>
        </row>
        <row r="132">
          <cell r="A132">
            <v>312</v>
          </cell>
          <cell r="B132" t="str">
            <v>NV1</v>
          </cell>
          <cell r="C132" t="str">
            <v>UTIL</v>
          </cell>
          <cell r="D132" t="str">
            <v xml:space="preserve"> </v>
          </cell>
          <cell r="F132">
            <v>-6894223.6500000004</v>
          </cell>
        </row>
        <row r="133">
          <cell r="A133">
            <v>314</v>
          </cell>
          <cell r="B133" t="str">
            <v>NV1</v>
          </cell>
          <cell r="C133" t="str">
            <v>SO2</v>
          </cell>
          <cell r="F133">
            <v>4</v>
          </cell>
        </row>
        <row r="134">
          <cell r="A134">
            <v>314</v>
          </cell>
          <cell r="B134" t="str">
            <v>NV1</v>
          </cell>
          <cell r="C134" t="str">
            <v>UTIL</v>
          </cell>
          <cell r="F134">
            <v>-2800311.91</v>
          </cell>
        </row>
        <row r="135">
          <cell r="A135">
            <v>315</v>
          </cell>
          <cell r="B135" t="str">
            <v>NV1</v>
          </cell>
          <cell r="C135" t="str">
            <v>SO2</v>
          </cell>
          <cell r="F135">
            <v>30</v>
          </cell>
        </row>
        <row r="136">
          <cell r="A136">
            <v>315</v>
          </cell>
          <cell r="B136" t="str">
            <v>NV1</v>
          </cell>
          <cell r="C136" t="str">
            <v>UTIL</v>
          </cell>
          <cell r="F136">
            <v>-1488184.61</v>
          </cell>
        </row>
        <row r="137">
          <cell r="A137">
            <v>316</v>
          </cell>
          <cell r="B137" t="str">
            <v>NV1</v>
          </cell>
          <cell r="C137" t="str">
            <v>SO2</v>
          </cell>
          <cell r="F137">
            <v>-2</v>
          </cell>
        </row>
        <row r="138">
          <cell r="A138">
            <v>316</v>
          </cell>
          <cell r="B138" t="str">
            <v>NV1</v>
          </cell>
          <cell r="C138" t="str">
            <v>UTIL</v>
          </cell>
          <cell r="F138">
            <v>-299912.78999999998</v>
          </cell>
        </row>
        <row r="139">
          <cell r="A139" t="str">
            <v>**TOTAL**</v>
          </cell>
          <cell r="F139">
            <v>-14486167.07</v>
          </cell>
        </row>
        <row r="141">
          <cell r="A141" t="str">
            <v>NAVAJO UNIT 2</v>
          </cell>
        </row>
        <row r="142">
          <cell r="A142">
            <v>311</v>
          </cell>
          <cell r="B142" t="str">
            <v>NV2</v>
          </cell>
          <cell r="C142" t="str">
            <v>SO2</v>
          </cell>
          <cell r="F142">
            <v>-332</v>
          </cell>
        </row>
        <row r="143">
          <cell r="A143">
            <v>311</v>
          </cell>
          <cell r="B143" t="str">
            <v>NV2</v>
          </cell>
          <cell r="C143" t="str">
            <v>UTIL</v>
          </cell>
          <cell r="F143">
            <v>-1158596.05</v>
          </cell>
        </row>
        <row r="144">
          <cell r="A144">
            <v>312</v>
          </cell>
          <cell r="B144" t="str">
            <v>NV2</v>
          </cell>
          <cell r="C144" t="str">
            <v>RLRD</v>
          </cell>
          <cell r="F144">
            <v>-1233309</v>
          </cell>
        </row>
        <row r="145">
          <cell r="A145">
            <v>312</v>
          </cell>
          <cell r="B145" t="str">
            <v>NV2</v>
          </cell>
          <cell r="C145" t="str">
            <v>UTIL</v>
          </cell>
          <cell r="F145">
            <v>-7531604.0199999996</v>
          </cell>
        </row>
        <row r="146">
          <cell r="A146">
            <v>314</v>
          </cell>
          <cell r="B146" t="str">
            <v>NV2</v>
          </cell>
          <cell r="C146" t="str">
            <v>UTIL</v>
          </cell>
          <cell r="F146">
            <v>-2241478.98</v>
          </cell>
        </row>
        <row r="147">
          <cell r="A147">
            <v>315</v>
          </cell>
          <cell r="B147" t="str">
            <v>NV2</v>
          </cell>
          <cell r="C147" t="str">
            <v>UTIL</v>
          </cell>
          <cell r="F147">
            <v>-1343312.61</v>
          </cell>
        </row>
        <row r="148">
          <cell r="A148">
            <v>316</v>
          </cell>
          <cell r="B148" t="str">
            <v>NV2</v>
          </cell>
          <cell r="C148" t="str">
            <v>UTIL</v>
          </cell>
          <cell r="F148">
            <v>-307031.78999999998</v>
          </cell>
        </row>
        <row r="149">
          <cell r="A149" t="str">
            <v>**TOTAL**</v>
          </cell>
          <cell r="F149">
            <v>-13815664.449999999</v>
          </cell>
        </row>
        <row r="151">
          <cell r="A151" t="str">
            <v>NAVAJO UNIT 3</v>
          </cell>
        </row>
        <row r="152">
          <cell r="A152">
            <v>311</v>
          </cell>
          <cell r="B152" t="str">
            <v>NV3</v>
          </cell>
          <cell r="C152" t="str">
            <v>SO2</v>
          </cell>
          <cell r="F152">
            <v>-26032</v>
          </cell>
        </row>
        <row r="153">
          <cell r="A153">
            <v>311</v>
          </cell>
          <cell r="B153" t="str">
            <v>NV3</v>
          </cell>
          <cell r="C153" t="str">
            <v>UTIL</v>
          </cell>
          <cell r="F153">
            <v>-1598038.04</v>
          </cell>
        </row>
        <row r="154">
          <cell r="A154">
            <v>312</v>
          </cell>
          <cell r="B154" t="str">
            <v>NV3</v>
          </cell>
          <cell r="C154" t="str">
            <v>RLRD</v>
          </cell>
          <cell r="F154">
            <v>-2179891</v>
          </cell>
        </row>
        <row r="155">
          <cell r="A155">
            <v>312</v>
          </cell>
          <cell r="B155" t="str">
            <v>NV3</v>
          </cell>
          <cell r="C155" t="str">
            <v>SO2</v>
          </cell>
          <cell r="F155">
            <v>-263491</v>
          </cell>
        </row>
        <row r="156">
          <cell r="A156">
            <v>312</v>
          </cell>
          <cell r="B156" t="str">
            <v>NV3</v>
          </cell>
          <cell r="C156" t="str">
            <v>UTIL</v>
          </cell>
          <cell r="D156" t="str">
            <v xml:space="preserve"> </v>
          </cell>
          <cell r="F156">
            <v>-7141258.2300000004</v>
          </cell>
        </row>
        <row r="157">
          <cell r="A157">
            <v>314</v>
          </cell>
          <cell r="B157" t="str">
            <v>NV3</v>
          </cell>
          <cell r="C157" t="str">
            <v>UTIL</v>
          </cell>
          <cell r="F157">
            <v>-3356170.34</v>
          </cell>
        </row>
        <row r="158">
          <cell r="A158">
            <v>315</v>
          </cell>
          <cell r="B158" t="str">
            <v>NV3</v>
          </cell>
          <cell r="C158" t="str">
            <v>SO2</v>
          </cell>
          <cell r="F158">
            <v>-26351</v>
          </cell>
        </row>
        <row r="159">
          <cell r="A159">
            <v>315</v>
          </cell>
          <cell r="B159" t="str">
            <v>NV3</v>
          </cell>
          <cell r="C159" t="str">
            <v>UTIL</v>
          </cell>
          <cell r="F159">
            <v>-2039636.6</v>
          </cell>
        </row>
        <row r="160">
          <cell r="A160">
            <v>316</v>
          </cell>
          <cell r="B160" t="str">
            <v>NV3</v>
          </cell>
          <cell r="C160" t="str">
            <v>SO2</v>
          </cell>
          <cell r="F160">
            <v>-1586</v>
          </cell>
        </row>
        <row r="161">
          <cell r="A161">
            <v>316</v>
          </cell>
          <cell r="B161" t="str">
            <v>NV3</v>
          </cell>
          <cell r="C161" t="str">
            <v>UTIL</v>
          </cell>
          <cell r="F161">
            <v>-530384.75</v>
          </cell>
        </row>
        <row r="162">
          <cell r="A162" t="str">
            <v>**TOTAL**</v>
          </cell>
          <cell r="F162">
            <v>-17162838.960000001</v>
          </cell>
        </row>
        <row r="164">
          <cell r="A164" t="str">
            <v>NAVAJO COMMON</v>
          </cell>
        </row>
        <row r="165">
          <cell r="A165">
            <v>311</v>
          </cell>
          <cell r="B165" t="str">
            <v>NVC</v>
          </cell>
          <cell r="F165">
            <v>-14642</v>
          </cell>
        </row>
        <row r="166">
          <cell r="A166">
            <v>311</v>
          </cell>
          <cell r="B166" t="str">
            <v>NVC</v>
          </cell>
          <cell r="C166" t="str">
            <v>SO2</v>
          </cell>
          <cell r="F166">
            <v>-416314.95</v>
          </cell>
        </row>
        <row r="167">
          <cell r="A167">
            <v>311</v>
          </cell>
          <cell r="B167" t="str">
            <v>NVC</v>
          </cell>
          <cell r="C167" t="str">
            <v>UTIL</v>
          </cell>
          <cell r="F167">
            <v>-73210</v>
          </cell>
        </row>
        <row r="168">
          <cell r="A168">
            <v>312</v>
          </cell>
          <cell r="B168" t="str">
            <v>NVC</v>
          </cell>
          <cell r="C168" t="str">
            <v>SO2</v>
          </cell>
          <cell r="F168">
            <v>-150729</v>
          </cell>
        </row>
        <row r="169">
          <cell r="A169">
            <v>312</v>
          </cell>
          <cell r="B169" t="str">
            <v>NVC</v>
          </cell>
          <cell r="C169" t="str">
            <v>UTIL</v>
          </cell>
          <cell r="F169">
            <v>-2273.4299999999998</v>
          </cell>
        </row>
        <row r="170">
          <cell r="A170">
            <v>314</v>
          </cell>
          <cell r="B170" t="str">
            <v>NVC</v>
          </cell>
        </row>
        <row r="171">
          <cell r="A171">
            <v>315</v>
          </cell>
          <cell r="B171" t="str">
            <v>NVC</v>
          </cell>
          <cell r="F171">
            <v>-7729</v>
          </cell>
        </row>
        <row r="172">
          <cell r="A172">
            <v>316</v>
          </cell>
          <cell r="B172" t="str">
            <v>NVC</v>
          </cell>
          <cell r="F172">
            <v>-63245</v>
          </cell>
        </row>
        <row r="173">
          <cell r="A173" t="str">
            <v>**TOTAL**</v>
          </cell>
          <cell r="F173">
            <v>-728143.38</v>
          </cell>
        </row>
        <row r="175">
          <cell r="A175" t="str">
            <v>TOTAL NAVAJO</v>
          </cell>
          <cell r="F175">
            <v>-46192813.860000007</v>
          </cell>
        </row>
        <row r="177">
          <cell r="A177" t="str">
            <v>SAN JUAN UNIT 1</v>
          </cell>
        </row>
        <row r="178">
          <cell r="A178">
            <v>311</v>
          </cell>
          <cell r="B178" t="str">
            <v>SJ1</v>
          </cell>
          <cell r="C178" t="str">
            <v>UTIL</v>
          </cell>
          <cell r="F178">
            <v>-7828024.9400000004</v>
          </cell>
        </row>
        <row r="179">
          <cell r="A179">
            <v>312</v>
          </cell>
          <cell r="B179" t="str">
            <v>SJ1</v>
          </cell>
          <cell r="C179" t="str">
            <v>CHEM</v>
          </cell>
          <cell r="F179">
            <v>-228546.89</v>
          </cell>
        </row>
        <row r="180">
          <cell r="A180">
            <v>312</v>
          </cell>
          <cell r="B180" t="str">
            <v>SJ1</v>
          </cell>
          <cell r="C180" t="str">
            <v>SO2</v>
          </cell>
          <cell r="F180">
            <v>-43712430.32</v>
          </cell>
        </row>
        <row r="181">
          <cell r="A181">
            <v>312</v>
          </cell>
          <cell r="B181" t="str">
            <v>SJ1</v>
          </cell>
          <cell r="C181" t="str">
            <v>UTIL</v>
          </cell>
          <cell r="F181">
            <v>-30278748.800000001</v>
          </cell>
        </row>
        <row r="182">
          <cell r="A182">
            <v>312</v>
          </cell>
          <cell r="B182" t="str">
            <v>SJ1</v>
          </cell>
          <cell r="C182" t="str">
            <v>WAST</v>
          </cell>
          <cell r="F182">
            <v>-1393286</v>
          </cell>
        </row>
        <row r="183">
          <cell r="A183">
            <v>314</v>
          </cell>
          <cell r="B183" t="str">
            <v>SJ1</v>
          </cell>
          <cell r="C183" t="str">
            <v>UTIL</v>
          </cell>
          <cell r="F183">
            <v>-15160802.42</v>
          </cell>
        </row>
        <row r="184">
          <cell r="A184">
            <v>314</v>
          </cell>
          <cell r="B184" t="str">
            <v>SJ1</v>
          </cell>
          <cell r="C184" t="str">
            <v>WAST</v>
          </cell>
          <cell r="F184">
            <v>-6306771</v>
          </cell>
        </row>
        <row r="185">
          <cell r="A185">
            <v>315</v>
          </cell>
          <cell r="B185" t="str">
            <v>SJ1</v>
          </cell>
          <cell r="C185" t="str">
            <v>UTIL</v>
          </cell>
          <cell r="F185">
            <v>-4519709.92</v>
          </cell>
        </row>
        <row r="186">
          <cell r="A186">
            <v>316</v>
          </cell>
          <cell r="B186" t="str">
            <v>SJ1</v>
          </cell>
          <cell r="C186" t="str">
            <v>UTIL</v>
          </cell>
          <cell r="F186">
            <v>-1202436.54</v>
          </cell>
        </row>
        <row r="187">
          <cell r="A187" t="str">
            <v>**TOTAL**</v>
          </cell>
          <cell r="F187">
            <v>-110630756.83000001</v>
          </cell>
        </row>
        <row r="190">
          <cell r="A190" t="str">
            <v>SAN JUAN UNIT 2</v>
          </cell>
        </row>
        <row r="191">
          <cell r="A191">
            <v>311</v>
          </cell>
          <cell r="B191" t="str">
            <v>SJ2</v>
          </cell>
          <cell r="C191" t="str">
            <v>UTIL</v>
          </cell>
          <cell r="F191">
            <v>-5887711.8899999997</v>
          </cell>
        </row>
        <row r="192">
          <cell r="A192">
            <v>312</v>
          </cell>
          <cell r="B192" t="str">
            <v>SJ2</v>
          </cell>
          <cell r="C192" t="str">
            <v>CHEM</v>
          </cell>
          <cell r="F192">
            <v>-228554.89</v>
          </cell>
        </row>
        <row r="193">
          <cell r="A193">
            <v>312</v>
          </cell>
          <cell r="B193" t="str">
            <v>SJ2</v>
          </cell>
          <cell r="C193" t="str">
            <v>SO2</v>
          </cell>
          <cell r="F193">
            <v>-43232836.659999996</v>
          </cell>
        </row>
        <row r="194">
          <cell r="A194">
            <v>312</v>
          </cell>
          <cell r="B194" t="str">
            <v>SJ2</v>
          </cell>
          <cell r="C194" t="str">
            <v>UTIL</v>
          </cell>
          <cell r="F194">
            <v>-29760356.260000002</v>
          </cell>
        </row>
        <row r="195">
          <cell r="A195">
            <v>312</v>
          </cell>
          <cell r="B195" t="str">
            <v>SJ2</v>
          </cell>
          <cell r="C195" t="str">
            <v>WAST</v>
          </cell>
          <cell r="F195">
            <v>-1393330</v>
          </cell>
        </row>
        <row r="196">
          <cell r="A196">
            <v>314</v>
          </cell>
          <cell r="B196" t="str">
            <v>SJ2</v>
          </cell>
          <cell r="C196" t="str">
            <v>UTIL</v>
          </cell>
          <cell r="F196">
            <v>-9751767</v>
          </cell>
        </row>
        <row r="197">
          <cell r="A197">
            <v>314</v>
          </cell>
          <cell r="B197" t="str">
            <v>SJ2</v>
          </cell>
          <cell r="C197" t="str">
            <v>WAST</v>
          </cell>
          <cell r="F197">
            <v>-6306783</v>
          </cell>
        </row>
        <row r="198">
          <cell r="A198">
            <v>315</v>
          </cell>
          <cell r="B198" t="str">
            <v>SJ2</v>
          </cell>
          <cell r="C198" t="str">
            <v>UTIL</v>
          </cell>
          <cell r="F198">
            <v>-7156321.25</v>
          </cell>
        </row>
        <row r="199">
          <cell r="A199">
            <v>316</v>
          </cell>
          <cell r="B199" t="str">
            <v>SJ2</v>
          </cell>
          <cell r="C199" t="str">
            <v>UTIL</v>
          </cell>
          <cell r="F199">
            <v>-3207756.04</v>
          </cell>
        </row>
        <row r="200">
          <cell r="A200" t="str">
            <v>**TOTAL**</v>
          </cell>
          <cell r="F200">
            <v>-106925416.99000001</v>
          </cell>
        </row>
        <row r="203">
          <cell r="A203" t="str">
            <v>SAN JUAN COMMON</v>
          </cell>
        </row>
        <row r="204">
          <cell r="A204">
            <v>312</v>
          </cell>
          <cell r="B204" t="str">
            <v>SJC</v>
          </cell>
          <cell r="C204" t="str">
            <v>UTIL</v>
          </cell>
          <cell r="F204">
            <v>-280625.81</v>
          </cell>
        </row>
        <row r="205">
          <cell r="A205">
            <v>315</v>
          </cell>
          <cell r="B205" t="str">
            <v>SJC</v>
          </cell>
          <cell r="C205" t="str">
            <v>UTIL</v>
          </cell>
          <cell r="F205">
            <v>-19576.02</v>
          </cell>
        </row>
        <row r="206">
          <cell r="A206" t="str">
            <v>**TOTAL**</v>
          </cell>
          <cell r="F206">
            <v>-300201.83</v>
          </cell>
        </row>
        <row r="209">
          <cell r="A209" t="str">
            <v>TOTAL SAN JUAN</v>
          </cell>
          <cell r="F209">
            <v>-217856375.65000004</v>
          </cell>
        </row>
        <row r="211">
          <cell r="A211" t="str">
            <v>SPRINGERVILLE UNIT 1</v>
          </cell>
        </row>
        <row r="212">
          <cell r="A212">
            <v>311</v>
          </cell>
          <cell r="B212" t="str">
            <v>SP1</v>
          </cell>
          <cell r="C212" t="str">
            <v>ENV</v>
          </cell>
        </row>
        <row r="213">
          <cell r="A213">
            <v>311</v>
          </cell>
          <cell r="B213" t="str">
            <v>SP1</v>
          </cell>
          <cell r="C213" t="str">
            <v>SO2</v>
          </cell>
        </row>
        <row r="214">
          <cell r="A214">
            <v>311</v>
          </cell>
          <cell r="B214" t="str">
            <v>SP1</v>
          </cell>
          <cell r="C214" t="str">
            <v>UTIL</v>
          </cell>
        </row>
        <row r="215">
          <cell r="A215">
            <v>312</v>
          </cell>
          <cell r="B215" t="str">
            <v>SP1</v>
          </cell>
          <cell r="C215" t="str">
            <v>ENV</v>
          </cell>
        </row>
        <row r="216">
          <cell r="A216">
            <v>312</v>
          </cell>
          <cell r="B216" t="str">
            <v>SP1</v>
          </cell>
          <cell r="C216" t="str">
            <v>SO2</v>
          </cell>
          <cell r="F216">
            <v>-3814</v>
          </cell>
        </row>
        <row r="217">
          <cell r="A217">
            <v>312</v>
          </cell>
          <cell r="B217" t="str">
            <v>SP1</v>
          </cell>
          <cell r="C217" t="str">
            <v>UTIL</v>
          </cell>
        </row>
        <row r="218">
          <cell r="A218">
            <v>314</v>
          </cell>
          <cell r="B218" t="str">
            <v>SP1</v>
          </cell>
          <cell r="C218" t="str">
            <v>UTIL</v>
          </cell>
        </row>
        <row r="219">
          <cell r="A219">
            <v>314</v>
          </cell>
          <cell r="B219" t="str">
            <v>SP1</v>
          </cell>
          <cell r="C219" t="str">
            <v>UTIL - PTS</v>
          </cell>
          <cell r="F219">
            <v>-233899</v>
          </cell>
        </row>
        <row r="220">
          <cell r="A220">
            <v>315</v>
          </cell>
          <cell r="B220" t="str">
            <v>SP1</v>
          </cell>
          <cell r="C220" t="str">
            <v>ENV</v>
          </cell>
        </row>
        <row r="221">
          <cell r="A221">
            <v>315</v>
          </cell>
          <cell r="B221" t="str">
            <v>SP1</v>
          </cell>
          <cell r="C221" t="str">
            <v>SO2</v>
          </cell>
          <cell r="F221">
            <v>4716</v>
          </cell>
        </row>
        <row r="222">
          <cell r="A222">
            <v>315</v>
          </cell>
          <cell r="B222" t="str">
            <v>SP1</v>
          </cell>
          <cell r="C222" t="str">
            <v>UTIL</v>
          </cell>
        </row>
        <row r="223">
          <cell r="A223">
            <v>316</v>
          </cell>
          <cell r="B223" t="str">
            <v>SP1</v>
          </cell>
          <cell r="C223" t="str">
            <v>ENV</v>
          </cell>
        </row>
        <row r="224">
          <cell r="A224">
            <v>316</v>
          </cell>
          <cell r="B224" t="str">
            <v>SP1</v>
          </cell>
          <cell r="C224" t="str">
            <v>S02</v>
          </cell>
        </row>
        <row r="225">
          <cell r="A225">
            <v>316</v>
          </cell>
          <cell r="B225" t="str">
            <v>SP1</v>
          </cell>
          <cell r="C225" t="str">
            <v>UTIL</v>
          </cell>
        </row>
        <row r="226">
          <cell r="A226" t="str">
            <v>**TOTAL**</v>
          </cell>
          <cell r="F226">
            <v>-232997</v>
          </cell>
        </row>
        <row r="229">
          <cell r="A229" t="str">
            <v>SPRINGERVILLE UNIT 2</v>
          </cell>
        </row>
        <row r="230">
          <cell r="A230">
            <v>311</v>
          </cell>
          <cell r="B230" t="str">
            <v>SP2</v>
          </cell>
          <cell r="C230" t="str">
            <v>ENV</v>
          </cell>
          <cell r="F230">
            <v>-66797</v>
          </cell>
        </row>
        <row r="231">
          <cell r="A231">
            <v>311</v>
          </cell>
          <cell r="B231" t="str">
            <v>SP2</v>
          </cell>
          <cell r="C231" t="str">
            <v>SO2</v>
          </cell>
          <cell r="F231">
            <v>-127516</v>
          </cell>
        </row>
        <row r="232">
          <cell r="A232">
            <v>311</v>
          </cell>
          <cell r="B232" t="str">
            <v>SP2</v>
          </cell>
          <cell r="C232" t="str">
            <v>UTIL</v>
          </cell>
          <cell r="F232">
            <v>-5780693</v>
          </cell>
        </row>
        <row r="233">
          <cell r="A233">
            <v>312</v>
          </cell>
          <cell r="B233" t="str">
            <v>SP2</v>
          </cell>
          <cell r="C233" t="str">
            <v>ENV</v>
          </cell>
          <cell r="F233">
            <v>-4362507</v>
          </cell>
        </row>
        <row r="234">
          <cell r="A234">
            <v>312</v>
          </cell>
          <cell r="B234" t="str">
            <v>SP2</v>
          </cell>
          <cell r="C234" t="str">
            <v>SO2</v>
          </cell>
          <cell r="F234">
            <v>-27500085</v>
          </cell>
        </row>
        <row r="235">
          <cell r="A235">
            <v>312</v>
          </cell>
          <cell r="B235" t="str">
            <v>SP2</v>
          </cell>
          <cell r="C235" t="str">
            <v>UTIL</v>
          </cell>
          <cell r="F235">
            <v>-39686386.810000002</v>
          </cell>
        </row>
        <row r="236">
          <cell r="A236">
            <v>314</v>
          </cell>
          <cell r="B236" t="str">
            <v>SP2</v>
          </cell>
          <cell r="C236" t="str">
            <v>PTS</v>
          </cell>
          <cell r="F236">
            <v>-3106</v>
          </cell>
        </row>
        <row r="237">
          <cell r="A237">
            <v>314</v>
          </cell>
          <cell r="B237" t="str">
            <v>SP2</v>
          </cell>
          <cell r="C237" t="str">
            <v>UTIL</v>
          </cell>
          <cell r="F237">
            <v>-23407598</v>
          </cell>
        </row>
        <row r="238">
          <cell r="A238">
            <v>315</v>
          </cell>
          <cell r="B238" t="str">
            <v>SP2</v>
          </cell>
          <cell r="C238" t="str">
            <v>ENV</v>
          </cell>
          <cell r="F238">
            <v>-812956</v>
          </cell>
        </row>
        <row r="239">
          <cell r="A239">
            <v>315</v>
          </cell>
          <cell r="B239" t="str">
            <v>SP2</v>
          </cell>
          <cell r="C239" t="str">
            <v>SO2</v>
          </cell>
          <cell r="F239">
            <v>-242230</v>
          </cell>
        </row>
        <row r="240">
          <cell r="A240">
            <v>315</v>
          </cell>
          <cell r="B240" t="str">
            <v>SP2</v>
          </cell>
          <cell r="C240" t="str">
            <v>UTIL</v>
          </cell>
          <cell r="F240">
            <v>-8706206</v>
          </cell>
        </row>
        <row r="241">
          <cell r="A241">
            <v>316</v>
          </cell>
          <cell r="B241" t="str">
            <v>SP2</v>
          </cell>
          <cell r="C241" t="str">
            <v>ENV</v>
          </cell>
          <cell r="F241">
            <v>-658</v>
          </cell>
        </row>
        <row r="242">
          <cell r="A242">
            <v>316</v>
          </cell>
          <cell r="B242" t="str">
            <v>SP2</v>
          </cell>
          <cell r="C242" t="str">
            <v>S02</v>
          </cell>
          <cell r="F242">
            <v>-39583</v>
          </cell>
        </row>
        <row r="243">
          <cell r="A243">
            <v>316</v>
          </cell>
          <cell r="B243" t="str">
            <v>SP2</v>
          </cell>
          <cell r="C243" t="str">
            <v>UTIL</v>
          </cell>
          <cell r="F243">
            <v>-1068509</v>
          </cell>
        </row>
        <row r="244">
          <cell r="A244" t="str">
            <v>**TOTAL**</v>
          </cell>
          <cell r="F244">
            <v>-111804830.81</v>
          </cell>
        </row>
        <row r="247">
          <cell r="A247" t="str">
            <v>SPRINGERVILLE COMMON  UNIT #1</v>
          </cell>
        </row>
        <row r="248">
          <cell r="A248">
            <v>311</v>
          </cell>
          <cell r="B248" t="str">
            <v>SC1</v>
          </cell>
          <cell r="C248" t="str">
            <v>ENV - SO2</v>
          </cell>
        </row>
        <row r="249">
          <cell r="A249">
            <v>311</v>
          </cell>
          <cell r="B249" t="str">
            <v>SC1</v>
          </cell>
          <cell r="C249" t="str">
            <v>ADM</v>
          </cell>
          <cell r="F249">
            <v>-950209</v>
          </cell>
        </row>
        <row r="250">
          <cell r="A250">
            <v>311</v>
          </cell>
          <cell r="B250" t="str">
            <v>SC1</v>
          </cell>
          <cell r="C250" t="str">
            <v>SHOP</v>
          </cell>
          <cell r="F250">
            <v>-999434</v>
          </cell>
        </row>
        <row r="251">
          <cell r="A251">
            <v>311</v>
          </cell>
          <cell r="B251" t="str">
            <v>SC1</v>
          </cell>
          <cell r="C251" t="str">
            <v>ENV</v>
          </cell>
          <cell r="D251" t="str">
            <v xml:space="preserve"> </v>
          </cell>
        </row>
        <row r="252">
          <cell r="A252">
            <v>311</v>
          </cell>
          <cell r="B252" t="str">
            <v>SC1</v>
          </cell>
          <cell r="C252" t="str">
            <v>UTIL</v>
          </cell>
        </row>
        <row r="253">
          <cell r="A253">
            <v>312</v>
          </cell>
          <cell r="B253" t="str">
            <v>SC1</v>
          </cell>
          <cell r="C253" t="str">
            <v>ENV - SO2</v>
          </cell>
          <cell r="D253" t="str">
            <v xml:space="preserve"> </v>
          </cell>
          <cell r="F253">
            <v>-902</v>
          </cell>
        </row>
        <row r="254">
          <cell r="A254">
            <v>312</v>
          </cell>
          <cell r="C254" t="str">
            <v>UTIL</v>
          </cell>
        </row>
        <row r="255">
          <cell r="A255">
            <v>314</v>
          </cell>
          <cell r="C255" t="str">
            <v>UTIL</v>
          </cell>
        </row>
        <row r="256">
          <cell r="A256">
            <v>315</v>
          </cell>
        </row>
        <row r="257">
          <cell r="A257">
            <v>316</v>
          </cell>
          <cell r="C257" t="str">
            <v>UTIL</v>
          </cell>
        </row>
        <row r="258">
          <cell r="A258" t="str">
            <v>**TOTAL**</v>
          </cell>
          <cell r="F258">
            <v>-1950545</v>
          </cell>
        </row>
        <row r="260">
          <cell r="A260" t="str">
            <v>SPRINGERVILLE COMMON  UNIT #2</v>
          </cell>
        </row>
        <row r="261">
          <cell r="A261">
            <v>312</v>
          </cell>
          <cell r="B261" t="str">
            <v>SC2</v>
          </cell>
          <cell r="C261" t="str">
            <v>ENV-SO2</v>
          </cell>
          <cell r="F261">
            <v>-44706</v>
          </cell>
        </row>
        <row r="262">
          <cell r="F262">
            <v>-44706</v>
          </cell>
        </row>
        <row r="264">
          <cell r="A264" t="str">
            <v>SPRINGERVILLE COMMON  UNIT #2</v>
          </cell>
        </row>
        <row r="265">
          <cell r="A265">
            <v>311</v>
          </cell>
          <cell r="B265" t="str">
            <v>SPC</v>
          </cell>
          <cell r="C265" t="str">
            <v>ADM</v>
          </cell>
          <cell r="F265">
            <v>-1863154</v>
          </cell>
        </row>
        <row r="266">
          <cell r="A266">
            <v>311</v>
          </cell>
          <cell r="B266" t="str">
            <v>SPC</v>
          </cell>
          <cell r="C266" t="str">
            <v>SHOP</v>
          </cell>
          <cell r="F266">
            <v>-816680</v>
          </cell>
        </row>
        <row r="267">
          <cell r="A267">
            <v>311</v>
          </cell>
          <cell r="B267" t="str">
            <v>SPC</v>
          </cell>
          <cell r="C267" t="str">
            <v>SO2</v>
          </cell>
          <cell r="D267" t="str">
            <v xml:space="preserve"> </v>
          </cell>
        </row>
        <row r="268">
          <cell r="A268">
            <v>311</v>
          </cell>
          <cell r="B268" t="str">
            <v>SPC</v>
          </cell>
          <cell r="C268" t="str">
            <v>UTIL</v>
          </cell>
        </row>
        <row r="269">
          <cell r="A269">
            <v>312</v>
          </cell>
          <cell r="C269" t="str">
            <v>SO2</v>
          </cell>
          <cell r="D269" t="str">
            <v xml:space="preserve"> </v>
          </cell>
        </row>
        <row r="270">
          <cell r="A270">
            <v>312</v>
          </cell>
          <cell r="C270" t="str">
            <v>UTIL</v>
          </cell>
        </row>
        <row r="271">
          <cell r="A271">
            <v>314</v>
          </cell>
          <cell r="C271" t="str">
            <v>UTIL</v>
          </cell>
        </row>
        <row r="272">
          <cell r="A272">
            <v>315</v>
          </cell>
          <cell r="C272" t="str">
            <v>ENV</v>
          </cell>
          <cell r="D272" t="str">
            <v xml:space="preserve"> </v>
          </cell>
        </row>
        <row r="273">
          <cell r="A273">
            <v>315</v>
          </cell>
          <cell r="C273" t="str">
            <v>SO2</v>
          </cell>
          <cell r="D273" t="str">
            <v xml:space="preserve"> </v>
          </cell>
        </row>
        <row r="274">
          <cell r="A274">
            <v>315</v>
          </cell>
          <cell r="C274" t="str">
            <v>UTIL</v>
          </cell>
        </row>
        <row r="275">
          <cell r="A275">
            <v>316</v>
          </cell>
          <cell r="C275" t="str">
            <v>ENV</v>
          </cell>
          <cell r="D275" t="str">
            <v xml:space="preserve"> </v>
          </cell>
        </row>
        <row r="276">
          <cell r="A276">
            <v>316</v>
          </cell>
          <cell r="C276" t="str">
            <v>SO2</v>
          </cell>
          <cell r="D276" t="str">
            <v xml:space="preserve"> </v>
          </cell>
        </row>
        <row r="277">
          <cell r="A277">
            <v>316</v>
          </cell>
          <cell r="C277" t="str">
            <v>UTIL</v>
          </cell>
          <cell r="D277" t="str">
            <v xml:space="preserve"> </v>
          </cell>
        </row>
        <row r="278">
          <cell r="A278" t="str">
            <v>**TOTAL**</v>
          </cell>
          <cell r="F278">
            <v>-2679834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 Data"/>
      <sheetName val="Essbase Data"/>
      <sheetName val="SR + Comm"/>
      <sheetName val="Sys Integ"/>
      <sheetName val="New Bus"/>
      <sheetName val="PI"/>
      <sheetName val="Fleet"/>
      <sheetName val="Facilities"/>
      <sheetName val="SUM"/>
      <sheetName val="Bud by month"/>
      <sheetName val="Retrieve"/>
      <sheetName val="Act RFC (Bud)"/>
      <sheetName val="Update dates"/>
      <sheetName val="First Time $250K"/>
      <sheetName val="First Time $500K"/>
      <sheetName val="ESRI_MAPINFO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2">
          <cell r="A12" t="str">
            <v>Accounting</v>
          </cell>
        </row>
        <row r="13">
          <cell r="A13" t="str">
            <v>Advanced</v>
          </cell>
        </row>
        <row r="14">
          <cell r="A14" t="str">
            <v>Scope Change and Carryover</v>
          </cell>
        </row>
        <row r="15">
          <cell r="A15" t="str">
            <v>Budget</v>
          </cell>
        </row>
        <row r="16">
          <cell r="A16" t="str">
            <v>Carryover</v>
          </cell>
        </row>
        <row r="17">
          <cell r="A17" t="str">
            <v>De-escalation</v>
          </cell>
        </row>
        <row r="18">
          <cell r="A18" t="str">
            <v>Reforecast</v>
          </cell>
        </row>
        <row r="19">
          <cell r="A19" t="str">
            <v>Deferred and Scope Change</v>
          </cell>
        </row>
        <row r="20">
          <cell r="A20" t="str">
            <v>Reforecast and advanced</v>
          </cell>
        </row>
        <row r="21">
          <cell r="A21" t="str">
            <v>Deferred</v>
          </cell>
        </row>
        <row r="22">
          <cell r="A22" t="str">
            <v>Delayed</v>
          </cell>
        </row>
        <row r="23">
          <cell r="A23" t="str">
            <v>Economic Impact</v>
          </cell>
        </row>
        <row r="24">
          <cell r="A24" t="str">
            <v>Escalation</v>
          </cell>
        </row>
        <row r="25">
          <cell r="A25" t="str">
            <v>Scope Change</v>
          </cell>
        </row>
      </sheetData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Two-Part Rates"/>
      <sheetName val="B. Two-Part Accruals"/>
      <sheetName val="C. Reserves"/>
      <sheetName val="D. Two-Part Reserves"/>
      <sheetName val="E. Net Salvage"/>
      <sheetName val="F. Fut. Net Sal."/>
      <sheetName val="G. Dismantlement"/>
      <sheetName val="H. Parameters"/>
      <sheetName val="Two-Part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V"/>
      <sheetName val="Forecast Summary by Proj _Add"/>
      <sheetName val="Forecast by Asset Group_Add"/>
      <sheetName val="Forecast by Acct"/>
      <sheetName val="Forecast by Asset Group_by Acct"/>
      <sheetName val="Master"/>
      <sheetName val="Forecast_All Project De - Query"/>
      <sheetName val="PTY 5M+"/>
      <sheetName val="PTY 1M+"/>
      <sheetName val="Hide"/>
      <sheetName val="Pivot All"/>
      <sheetName val="Sheet2"/>
      <sheetName val="High Level Sum"/>
      <sheetName val="Forecast PT"/>
      <sheetName val="500k PT"/>
      <sheetName val="500k data"/>
      <sheetName val="Table"/>
      <sheetName val="Lookup"/>
      <sheetName val="Forecast by Tran Project_Add"/>
      <sheetName val="Forecast by Shared Svc_Add"/>
      <sheetName val="Sheet5"/>
      <sheetName val="Actuals PT"/>
      <sheetName val="Actuals Jan-F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Project Number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0:10.155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0 0 0,'2095'66'0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20:30:13.058"/>
    </inkml:context>
    <inkml:brush xml:id="br0">
      <inkml:brushProperty name="width" value="0.3" units="cm"/>
      <inkml:brushProperty name="height" value="0.6" units="cm"/>
      <inkml:brushProperty name="tip" value="rectangle"/>
      <inkml:brushProperty name="rasterOp" value="maskPen"/>
      <inkml:brushProperty name="ignorePressure" value="1"/>
    </inkml:brush>
  </inkml:definitions>
  <inkml:trace contextRef="#ctx0" brushRef="#br0">0 111 0,'1653'-111'0</inkml:trace>
</inkml: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Income%20-%20Depreciation%20and%20Amortization%20Exp%20Annualization%20Jun-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senergy-my.sharepoint.com/PLANTACC/Rate%20Case/UNSG/1%20-%20UNSG%20ARAM/12%20Months%20Ended%20June%202026/2%20-%20Post%20Test%20Year%20Plant/Post%20Test%20Year%20-%20Jun-26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iz, Cassandra" refreshedDate="44812.677247453707" createdVersion="8" refreshedVersion="8" minRefreshableVersion="3" recordCount="271" xr:uid="{7E5150D1-9DDC-43E1-8E94-FD3C6BB118A3}">
  <cacheSource type="worksheet">
    <worksheetSource ref="A1:B1048576" sheet="dg" r:id="rId2"/>
  </cacheSource>
  <cacheFields count="2">
    <cacheField name="description" numFmtId="0">
      <sharedItems containsBlank="1" count="270">
        <s v="E1303APGILRV000"/>
        <s v="E1303S1GILRV000"/>
        <s v="E1303S200000000"/>
        <s v="E1303WOHILLT000"/>
        <s v="E1303WOLKHAV000"/>
        <s v="E1303WONHAVA000"/>
        <s v="E1303WPGRIFF230"/>
        <s v="E1303WPLKHAV000"/>
        <s v="E1303WPNHAVA000"/>
        <s v="E1303WPRVAEP000"/>
        <s v="E1303WPVALEN115"/>
        <s v="E1303XXBLKMS000"/>
        <s v="E4303XX00000000"/>
        <s v="E4303XXGLACQ000"/>
        <s v="E1340ESVALPP000"/>
        <s v="E1340LDBKMTN000"/>
        <s v="E1340LDGIL03000"/>
        <s v="E1340LDJACPV000"/>
        <s v="E1340LDVALPP000"/>
        <s v="E1340LSRRICO000"/>
        <s v="E2340LDBLKSL000"/>
        <s v="E4340ES00000000"/>
        <s v="E4340LD00000000"/>
        <s v="E4340LDGLACQ000"/>
        <s v="E1341ENBKMTN000"/>
        <s v="E1341ENVALPP000"/>
        <s v="E1341PVJACPV000"/>
        <s v="E1341XXBKMTN000"/>
        <s v="E1341XXGIL03000"/>
        <s v="E1341XXGILCM000"/>
        <s v="E1341XXLASPV000"/>
        <s v="E1341XXVALPP000"/>
        <s v="E4341XX00000000"/>
        <s v="E4341XXGLACQ000"/>
        <s v="E1342XXBKMTN000"/>
        <s v="E1342XXGIL03000"/>
        <s v="E1342XXGILCM000"/>
        <s v="E1342XXVALPP000"/>
        <s v="E4342XX00000000"/>
        <s v="E4342XXGLACQ000"/>
        <s v="E1343E1GIL03000"/>
        <s v="E1343E1GILCM000"/>
        <s v="E1343ENVALPP000"/>
        <s v="E1343XXBKMTN000"/>
        <s v="E1343XXGIL03000"/>
        <s v="E1343XXGILCM000"/>
        <s v="E1343XXVALPP000"/>
        <s v="E4343XX00000000"/>
        <s v="E4343XXGLACQ000"/>
        <s v="E1344ENBKMTN000"/>
        <s v="E1344ENVALPP000"/>
        <s v="E1344PVJACPV000"/>
        <s v="E1344PVLASPV000"/>
        <s v="E1344PVRRICO000"/>
        <s v="E1344XXBKMTN000"/>
        <s v="E1344XXGIL03000"/>
        <s v="E1344XXGILCM000"/>
        <s v="E1344XXVALPP000"/>
        <s v="E4344XX00000000"/>
        <s v="E4344XXGLACQ000"/>
        <s v="E1345ENVALPP000"/>
        <s v="E1345XXBKMTN000"/>
        <s v="E1345XXGIL03000"/>
        <s v="E1345XXGILCM000"/>
        <s v="E1345XXVALPP000"/>
        <s v="E4345XX00000000"/>
        <s v="E4345XXGLACQ000"/>
        <s v="E1346ENBKMTN000"/>
        <s v="E1346ENVALPP000"/>
        <s v="E1346XXBKMTN000"/>
        <s v="E1346XXGIL03000"/>
        <s v="E1346XXGILCM000"/>
        <s v="E1346XXVALPP000"/>
        <s v="E4346XX00000000"/>
        <s v="E4346XXGLACQ000"/>
        <s v="E1350ES00000000"/>
        <s v="E1350ES00000069"/>
        <s v="E1350ES00000138"/>
        <s v="E1350LD00000069"/>
        <s v="E1350RA00000069"/>
        <s v="E1350RA00000138"/>
        <s v="E1350RW00000000"/>
        <s v="E1350RW00000069"/>
        <s v="E1350RW00000115"/>
        <s v="E2350LD00000000"/>
        <s v="E4350ES00000000"/>
        <s v="E4350LD00000000"/>
        <s v="E4350RW00000000"/>
        <s v="E5350ES00000000"/>
        <s v="E1352XX00000069"/>
        <s v="E1352XX00000115"/>
        <s v="E1352XX00000138"/>
        <s v="E1352XX00000230"/>
        <s v="E1352XXGILAS500"/>
        <s v="E4352XX00000000"/>
        <s v="E4352XXGLACQ000"/>
        <s v="E1353XX00000069"/>
        <s v="E1353XX00000115"/>
        <s v="E1353XX00000138"/>
        <s v="E1353XX00000230"/>
        <s v="E1353XXGILAS500"/>
        <s v="E4353XX00000000"/>
        <s v="E4353XXGLACQ000"/>
        <s v="E1354XX00000069"/>
        <s v="E4354XX00000000"/>
        <s v="E1355XX00000046"/>
        <s v="E1355XX00000069"/>
        <s v="E1355XX00000138"/>
        <s v="E4355XX00000000"/>
        <s v="E1356XX00000046"/>
        <s v="E1356XX00000069"/>
        <s v="E1356XX00000138"/>
        <s v="E4356XX00000000"/>
        <s v="E1358XX00000069"/>
        <s v="E1359XX00000069"/>
        <s v="E1359XX00000115"/>
        <s v="E4359XX00000000"/>
        <s v="E1360ES00000000"/>
        <s v="E1360LD00000000"/>
        <s v="E1360LS00000000"/>
        <s v="E1360RA00000000"/>
        <s v="E1360RW00000000"/>
        <s v="E1360XX00000000"/>
        <s v="E2360LD00000000"/>
        <s v="E4360ES00000000"/>
        <s v="E4360LD00000000"/>
        <s v="E4360LS00000000"/>
        <s v="E4360RW00000000"/>
        <s v="E4360XX00000000"/>
        <s v="E5360LD00000000"/>
        <s v="E1361XX00000000"/>
        <s v="E4361XX00000000"/>
        <s v="E1362XX00000000"/>
        <s v="E1362XXJACPV000"/>
        <s v="E4362XX00000000"/>
        <s v="E1364XX00000000"/>
        <s v="E4364XX00000000"/>
        <s v="E1365XX00000000"/>
        <s v="E4365XX00000000"/>
        <s v="E1366XX00000000"/>
        <s v="E4366XX00000000"/>
        <s v="E1367XX00000000"/>
        <s v="E4367XX00000000"/>
        <s v="E1368OH00000000"/>
        <s v="E1368UG00000000"/>
        <s v="E4368XX00000000"/>
        <s v="E1369OH00000000"/>
        <s v="E1369UG00000000"/>
        <s v="E4369OH00000000"/>
        <s v="E4369UG00000000"/>
        <s v="E1370XX00000000"/>
        <s v="E4370XX00000000"/>
        <s v="E1373XX00000000"/>
        <s v="E4373XX00000000"/>
        <s v="E1389LD00000000"/>
        <s v="E1389LDHAVAW000"/>
        <s v="E1389LDKINGW000"/>
        <s v="E1389LDSCNHQ000"/>
        <s v="E1389LDSHANG000"/>
        <s v="E4389LD00000000"/>
        <s v="E1390XX00000000"/>
        <s v="E1390XXBKMTN000"/>
        <s v="E1390XXGILRV000"/>
        <s v="E1390XXHAVAS000"/>
        <s v="E1390XXHAVAW000"/>
        <s v="E1390XXHAVSO000"/>
        <s v="E1390XXKINGM000"/>
        <s v="E1390XXKINGW000"/>
        <s v="E1390XXKIOWA000"/>
        <s v="E1390XXLASPV000"/>
        <s v="E1390XXLKHAV000"/>
        <s v="E1390XXLONDN000"/>
        <s v="E1390XXMOHAV000"/>
        <s v="E1390XXOATMN000"/>
        <s v="E1390XXRRICO000"/>
        <s v="E1390XXSCADM000"/>
        <s v="E1390XXSCNHQ000"/>
        <s v="E1390XXSCPOL000"/>
        <s v="E1390XXSCWHS000"/>
        <s v="E1390XXSHANG000"/>
        <s v="E1390XXSKING000"/>
        <s v="E1390XXVALEN000"/>
        <s v="E1390XXVALPP000"/>
        <s v="E4390XX00000000"/>
        <s v="E1391CPGILRV000"/>
        <s v="E1391CPKINGM000"/>
        <s v="E1391CPMOHAV000"/>
        <s v="E1391LNHAVSO000"/>
        <s v="E1391NTBKMTN000"/>
        <s v="E1391NTHAVAW000"/>
        <s v="E1391NTHAVSO000"/>
        <s v="E1391NTKINGM000"/>
        <s v="E1391NTKINGW000"/>
        <s v="E1391NTMOHAV000"/>
        <s v="E1391NTSCNHQ000"/>
        <s v="E1391NTVALPP000"/>
        <s v="E1391OE00000000"/>
        <s v="E1391OEGILRV000"/>
        <s v="E1391OEHAVAW000"/>
        <s v="E1391OEHAVSO000"/>
        <s v="E1391OEKINGM000"/>
        <s v="E1391OEKINGW000"/>
        <s v="E1391OEMOHAV000"/>
        <s v="E1391OESCADM000"/>
        <s v="E1391OESCNHQ000"/>
        <s v="E1391OESCWHS000"/>
        <s v="E1391OEVALPP000"/>
        <s v="E1391OEYUCCA000"/>
        <s v="E1392C0GILRV000"/>
        <s v="E1392C100000000"/>
        <s v="E1392C200000000"/>
        <s v="E1392C300000000"/>
        <s v="E1392C400000000"/>
        <s v="E1392C500000000"/>
        <s v="E1392C600000000"/>
        <s v="E1392C700000000"/>
        <s v="E1392C800000000"/>
        <s v="E1392C900000000"/>
        <s v="E4392C0GLACQ000"/>
        <s v="E1393XX00000000"/>
        <s v="E1393XXGILRV000"/>
        <s v="E1393XXHAVAW000"/>
        <s v="E1393XXKINGW000"/>
        <s v="E1393XXSCWHS000"/>
        <s v="E4393XX00000000"/>
        <s v="E4393XXGLACQ000"/>
        <s v="E1394XX00000000"/>
        <s v="E1394XXBKMTN000"/>
        <s v="E1394XXHAVAW000"/>
        <s v="E1394XXKINGW000"/>
        <s v="E1394XXPARKR000"/>
        <s v="E1394XXSCWHS000"/>
        <s v="E1394XXVALEN000"/>
        <s v="E1394XXVALPP000"/>
        <s v="E4394XX00000000"/>
        <s v="E1395XX00000000"/>
        <s v="E1395XXHAVAW000"/>
        <s v="E1395XXKINGW000"/>
        <s v="E1395XXKSTCY000"/>
        <s v="E1395XXMOHAV000"/>
        <s v="E1395XXSCWHS000"/>
        <s v="E1395XXVALEN000"/>
        <s v="E4395XX00000000"/>
        <s v="E1396XX00000000"/>
        <s v="E1396XXGILRV000"/>
        <s v="E1396XXHAVAW000"/>
        <s v="E1396XXKINGW000"/>
        <s v="E1396XXLKHAV000"/>
        <s v="E1396XXMOHAV000"/>
        <s v="E1396XXSCWHS000"/>
        <s v="E1396XXVALPP000"/>
        <s v="E4396XX00000000"/>
        <s v="E1397EM00000000"/>
        <s v="E1397XX00000000"/>
        <s v="E4397XX00000000"/>
        <s v="E1398XX00000000"/>
        <s v="E1398XXHAVAW000"/>
        <s v="E1398XXHAVSO000"/>
        <s v="E1398XXKINGM000"/>
        <s v="E1398XXKINGW000"/>
        <s v="E1398XXMOHAV000"/>
        <s v="E1398XXSCNHQ000"/>
        <s v="E1398XXSCWHS000"/>
        <s v="E4398XX00000000"/>
        <s v="UNS: 317-ARCs for Steam Production"/>
        <s v="UNS: 347-ARCs for Other Production"/>
        <s v="UNS: 359.1-ARCs for Transmission Pl"/>
        <s v="UNS: 374-ARCs for Distribution Plan"/>
        <s v="UNS: 399.1-ARCs for General Plant"/>
        <m/>
      </sharedItems>
    </cacheField>
    <cacheField name="FERC" numFmtId="0">
      <sharedItems containsBlank="1" containsMixedTypes="1" containsNumber="1" minValue="317" maxValue="399.1" count="43">
        <s v="303"/>
        <s v="340"/>
        <s v="341"/>
        <s v="342"/>
        <s v="343"/>
        <s v="344"/>
        <s v="345"/>
        <s v="346"/>
        <s v="350"/>
        <s v="352"/>
        <s v="353"/>
        <s v="354"/>
        <s v="355"/>
        <s v="356"/>
        <s v="358"/>
        <s v="359"/>
        <s v="360"/>
        <s v="361"/>
        <s v="362"/>
        <s v="364"/>
        <s v="365"/>
        <s v="366"/>
        <s v="367"/>
        <s v="368"/>
        <s v="369"/>
        <s v="370"/>
        <s v="373"/>
        <s v="389"/>
        <s v="390"/>
        <s v="391"/>
        <s v="392"/>
        <s v="393"/>
        <s v="394"/>
        <s v="395"/>
        <s v="396"/>
        <s v="397"/>
        <s v="398"/>
        <n v="317"/>
        <n v="347"/>
        <n v="359.1"/>
        <n v="374"/>
        <n v="399.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iz, Cassandra" refreshedDate="46216.584937615742" createdVersion="8" refreshedVersion="8" minRefreshableVersion="3" recordCount="118" xr:uid="{A8555A57-042C-4D53-AD96-BB8C59ACB1CB}">
  <cacheSource type="worksheet">
    <worksheetSource ref="B4:H122" sheet="1. Lead Schedule " r:id="rId2"/>
  </cacheSource>
  <cacheFields count="7">
    <cacheField name="FERC" numFmtId="0">
      <sharedItems containsBlank="1"/>
    </cacheField>
    <cacheField name="Project" numFmtId="0">
      <sharedItems containsBlank="1"/>
    </cacheField>
    <cacheField name="Project Desc" numFmtId="0">
      <sharedItems containsBlank="1"/>
    </cacheField>
    <cacheField name="JUL-26 thru DEC-26 Total" numFmtId="165">
      <sharedItems containsSemiMixedTypes="0" containsString="0" containsNumber="1" containsInteger="1" minValue="-58392" maxValue="10538986"/>
    </cacheField>
    <cacheField name="Depr Rate Code" numFmtId="0">
      <sharedItems containsMixedTypes="1" containsNumber="1" containsInteger="1" minValue="0" maxValue="0" count="18">
        <s v="374RA00000"/>
        <n v="0"/>
        <s v="376XX00000"/>
        <s v="378XX00000"/>
        <s v="379XX00000"/>
        <s v="380XX00000"/>
        <s v="381XX00000"/>
        <s v="382XX00000"/>
        <s v="383XX00000"/>
        <s v="384XX00000"/>
        <s v="385XX00000"/>
        <s v="387XX00000"/>
        <s v="390XX00000"/>
        <s v="391NT00000"/>
        <s v="391OE00000"/>
        <s v="392C300000"/>
        <s v="394XX00000"/>
        <s v="397XX00000"/>
      </sharedItems>
    </cacheField>
    <cacheField name="Annual Depr Rate" numFmtId="0">
      <sharedItems containsString="0" containsBlank="1" containsNumber="1" minValue="1.7399999999999999E-2" maxValue="0.2"/>
    </cacheField>
    <cacheField name="Annual Accum Depr" numFmtId="165">
      <sharedItems containsSemiMixedTypes="0" containsString="0" containsNumber="1" containsInteger="1" minValue="-1238" maxValue="395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1">
  <r>
    <x v="0"/>
    <x v="0"/>
  </r>
  <r>
    <x v="1"/>
    <x v="0"/>
  </r>
  <r>
    <x v="2"/>
    <x v="0"/>
  </r>
  <r>
    <x v="3"/>
    <x v="0"/>
  </r>
  <r>
    <x v="4"/>
    <x v="0"/>
  </r>
  <r>
    <x v="5"/>
    <x v="0"/>
  </r>
  <r>
    <x v="6"/>
    <x v="0"/>
  </r>
  <r>
    <x v="7"/>
    <x v="0"/>
  </r>
  <r>
    <x v="8"/>
    <x v="0"/>
  </r>
  <r>
    <x v="9"/>
    <x v="0"/>
  </r>
  <r>
    <x v="10"/>
    <x v="0"/>
  </r>
  <r>
    <x v="11"/>
    <x v="0"/>
  </r>
  <r>
    <x v="12"/>
    <x v="0"/>
  </r>
  <r>
    <x v="13"/>
    <x v="0"/>
  </r>
  <r>
    <x v="14"/>
    <x v="1"/>
  </r>
  <r>
    <x v="15"/>
    <x v="1"/>
  </r>
  <r>
    <x v="16"/>
    <x v="1"/>
  </r>
  <r>
    <x v="17"/>
    <x v="1"/>
  </r>
  <r>
    <x v="18"/>
    <x v="1"/>
  </r>
  <r>
    <x v="19"/>
    <x v="1"/>
  </r>
  <r>
    <x v="20"/>
    <x v="1"/>
  </r>
  <r>
    <x v="21"/>
    <x v="1"/>
  </r>
  <r>
    <x v="22"/>
    <x v="1"/>
  </r>
  <r>
    <x v="23"/>
    <x v="1"/>
  </r>
  <r>
    <x v="24"/>
    <x v="2"/>
  </r>
  <r>
    <x v="25"/>
    <x v="2"/>
  </r>
  <r>
    <x v="26"/>
    <x v="2"/>
  </r>
  <r>
    <x v="27"/>
    <x v="2"/>
  </r>
  <r>
    <x v="28"/>
    <x v="2"/>
  </r>
  <r>
    <x v="29"/>
    <x v="2"/>
  </r>
  <r>
    <x v="30"/>
    <x v="2"/>
  </r>
  <r>
    <x v="31"/>
    <x v="2"/>
  </r>
  <r>
    <x v="32"/>
    <x v="2"/>
  </r>
  <r>
    <x v="33"/>
    <x v="2"/>
  </r>
  <r>
    <x v="34"/>
    <x v="3"/>
  </r>
  <r>
    <x v="35"/>
    <x v="3"/>
  </r>
  <r>
    <x v="36"/>
    <x v="3"/>
  </r>
  <r>
    <x v="37"/>
    <x v="3"/>
  </r>
  <r>
    <x v="38"/>
    <x v="3"/>
  </r>
  <r>
    <x v="39"/>
    <x v="3"/>
  </r>
  <r>
    <x v="40"/>
    <x v="4"/>
  </r>
  <r>
    <x v="41"/>
    <x v="4"/>
  </r>
  <r>
    <x v="42"/>
    <x v="4"/>
  </r>
  <r>
    <x v="43"/>
    <x v="4"/>
  </r>
  <r>
    <x v="44"/>
    <x v="4"/>
  </r>
  <r>
    <x v="45"/>
    <x v="4"/>
  </r>
  <r>
    <x v="46"/>
    <x v="4"/>
  </r>
  <r>
    <x v="47"/>
    <x v="4"/>
  </r>
  <r>
    <x v="48"/>
    <x v="4"/>
  </r>
  <r>
    <x v="49"/>
    <x v="5"/>
  </r>
  <r>
    <x v="50"/>
    <x v="5"/>
  </r>
  <r>
    <x v="51"/>
    <x v="5"/>
  </r>
  <r>
    <x v="52"/>
    <x v="5"/>
  </r>
  <r>
    <x v="53"/>
    <x v="5"/>
  </r>
  <r>
    <x v="54"/>
    <x v="5"/>
  </r>
  <r>
    <x v="55"/>
    <x v="5"/>
  </r>
  <r>
    <x v="56"/>
    <x v="5"/>
  </r>
  <r>
    <x v="57"/>
    <x v="5"/>
  </r>
  <r>
    <x v="58"/>
    <x v="5"/>
  </r>
  <r>
    <x v="59"/>
    <x v="5"/>
  </r>
  <r>
    <x v="60"/>
    <x v="6"/>
  </r>
  <r>
    <x v="61"/>
    <x v="6"/>
  </r>
  <r>
    <x v="62"/>
    <x v="6"/>
  </r>
  <r>
    <x v="63"/>
    <x v="6"/>
  </r>
  <r>
    <x v="64"/>
    <x v="6"/>
  </r>
  <r>
    <x v="65"/>
    <x v="6"/>
  </r>
  <r>
    <x v="66"/>
    <x v="6"/>
  </r>
  <r>
    <x v="67"/>
    <x v="7"/>
  </r>
  <r>
    <x v="68"/>
    <x v="7"/>
  </r>
  <r>
    <x v="69"/>
    <x v="7"/>
  </r>
  <r>
    <x v="70"/>
    <x v="7"/>
  </r>
  <r>
    <x v="71"/>
    <x v="7"/>
  </r>
  <r>
    <x v="72"/>
    <x v="7"/>
  </r>
  <r>
    <x v="73"/>
    <x v="7"/>
  </r>
  <r>
    <x v="74"/>
    <x v="7"/>
  </r>
  <r>
    <x v="75"/>
    <x v="8"/>
  </r>
  <r>
    <x v="76"/>
    <x v="8"/>
  </r>
  <r>
    <x v="77"/>
    <x v="8"/>
  </r>
  <r>
    <x v="78"/>
    <x v="8"/>
  </r>
  <r>
    <x v="79"/>
    <x v="8"/>
  </r>
  <r>
    <x v="80"/>
    <x v="8"/>
  </r>
  <r>
    <x v="81"/>
    <x v="8"/>
  </r>
  <r>
    <x v="82"/>
    <x v="8"/>
  </r>
  <r>
    <x v="83"/>
    <x v="8"/>
  </r>
  <r>
    <x v="84"/>
    <x v="8"/>
  </r>
  <r>
    <x v="85"/>
    <x v="8"/>
  </r>
  <r>
    <x v="86"/>
    <x v="8"/>
  </r>
  <r>
    <x v="87"/>
    <x v="8"/>
  </r>
  <r>
    <x v="88"/>
    <x v="8"/>
  </r>
  <r>
    <x v="89"/>
    <x v="9"/>
  </r>
  <r>
    <x v="90"/>
    <x v="9"/>
  </r>
  <r>
    <x v="91"/>
    <x v="9"/>
  </r>
  <r>
    <x v="92"/>
    <x v="9"/>
  </r>
  <r>
    <x v="93"/>
    <x v="9"/>
  </r>
  <r>
    <x v="94"/>
    <x v="9"/>
  </r>
  <r>
    <x v="95"/>
    <x v="9"/>
  </r>
  <r>
    <x v="96"/>
    <x v="10"/>
  </r>
  <r>
    <x v="97"/>
    <x v="10"/>
  </r>
  <r>
    <x v="98"/>
    <x v="10"/>
  </r>
  <r>
    <x v="99"/>
    <x v="10"/>
  </r>
  <r>
    <x v="100"/>
    <x v="10"/>
  </r>
  <r>
    <x v="101"/>
    <x v="10"/>
  </r>
  <r>
    <x v="102"/>
    <x v="10"/>
  </r>
  <r>
    <x v="103"/>
    <x v="11"/>
  </r>
  <r>
    <x v="104"/>
    <x v="11"/>
  </r>
  <r>
    <x v="105"/>
    <x v="12"/>
  </r>
  <r>
    <x v="106"/>
    <x v="12"/>
  </r>
  <r>
    <x v="107"/>
    <x v="12"/>
  </r>
  <r>
    <x v="108"/>
    <x v="12"/>
  </r>
  <r>
    <x v="109"/>
    <x v="13"/>
  </r>
  <r>
    <x v="110"/>
    <x v="13"/>
  </r>
  <r>
    <x v="111"/>
    <x v="13"/>
  </r>
  <r>
    <x v="112"/>
    <x v="13"/>
  </r>
  <r>
    <x v="113"/>
    <x v="14"/>
  </r>
  <r>
    <x v="114"/>
    <x v="15"/>
  </r>
  <r>
    <x v="115"/>
    <x v="15"/>
  </r>
  <r>
    <x v="116"/>
    <x v="15"/>
  </r>
  <r>
    <x v="117"/>
    <x v="16"/>
  </r>
  <r>
    <x v="118"/>
    <x v="16"/>
  </r>
  <r>
    <x v="119"/>
    <x v="16"/>
  </r>
  <r>
    <x v="120"/>
    <x v="16"/>
  </r>
  <r>
    <x v="121"/>
    <x v="16"/>
  </r>
  <r>
    <x v="122"/>
    <x v="16"/>
  </r>
  <r>
    <x v="123"/>
    <x v="16"/>
  </r>
  <r>
    <x v="124"/>
    <x v="16"/>
  </r>
  <r>
    <x v="125"/>
    <x v="16"/>
  </r>
  <r>
    <x v="126"/>
    <x v="16"/>
  </r>
  <r>
    <x v="127"/>
    <x v="16"/>
  </r>
  <r>
    <x v="128"/>
    <x v="16"/>
  </r>
  <r>
    <x v="129"/>
    <x v="16"/>
  </r>
  <r>
    <x v="130"/>
    <x v="17"/>
  </r>
  <r>
    <x v="131"/>
    <x v="17"/>
  </r>
  <r>
    <x v="132"/>
    <x v="18"/>
  </r>
  <r>
    <x v="133"/>
    <x v="18"/>
  </r>
  <r>
    <x v="134"/>
    <x v="18"/>
  </r>
  <r>
    <x v="135"/>
    <x v="19"/>
  </r>
  <r>
    <x v="136"/>
    <x v="19"/>
  </r>
  <r>
    <x v="137"/>
    <x v="20"/>
  </r>
  <r>
    <x v="138"/>
    <x v="20"/>
  </r>
  <r>
    <x v="139"/>
    <x v="21"/>
  </r>
  <r>
    <x v="140"/>
    <x v="21"/>
  </r>
  <r>
    <x v="141"/>
    <x v="22"/>
  </r>
  <r>
    <x v="142"/>
    <x v="22"/>
  </r>
  <r>
    <x v="143"/>
    <x v="23"/>
  </r>
  <r>
    <x v="144"/>
    <x v="23"/>
  </r>
  <r>
    <x v="145"/>
    <x v="23"/>
  </r>
  <r>
    <x v="146"/>
    <x v="24"/>
  </r>
  <r>
    <x v="147"/>
    <x v="24"/>
  </r>
  <r>
    <x v="148"/>
    <x v="24"/>
  </r>
  <r>
    <x v="149"/>
    <x v="24"/>
  </r>
  <r>
    <x v="150"/>
    <x v="25"/>
  </r>
  <r>
    <x v="151"/>
    <x v="25"/>
  </r>
  <r>
    <x v="152"/>
    <x v="26"/>
  </r>
  <r>
    <x v="153"/>
    <x v="26"/>
  </r>
  <r>
    <x v="154"/>
    <x v="27"/>
  </r>
  <r>
    <x v="155"/>
    <x v="27"/>
  </r>
  <r>
    <x v="156"/>
    <x v="27"/>
  </r>
  <r>
    <x v="157"/>
    <x v="27"/>
  </r>
  <r>
    <x v="158"/>
    <x v="27"/>
  </r>
  <r>
    <x v="159"/>
    <x v="27"/>
  </r>
  <r>
    <x v="160"/>
    <x v="28"/>
  </r>
  <r>
    <x v="161"/>
    <x v="28"/>
  </r>
  <r>
    <x v="162"/>
    <x v="28"/>
  </r>
  <r>
    <x v="163"/>
    <x v="28"/>
  </r>
  <r>
    <x v="164"/>
    <x v="28"/>
  </r>
  <r>
    <x v="165"/>
    <x v="28"/>
  </r>
  <r>
    <x v="166"/>
    <x v="28"/>
  </r>
  <r>
    <x v="167"/>
    <x v="28"/>
  </r>
  <r>
    <x v="168"/>
    <x v="28"/>
  </r>
  <r>
    <x v="169"/>
    <x v="28"/>
  </r>
  <r>
    <x v="170"/>
    <x v="28"/>
  </r>
  <r>
    <x v="171"/>
    <x v="28"/>
  </r>
  <r>
    <x v="172"/>
    <x v="28"/>
  </r>
  <r>
    <x v="173"/>
    <x v="28"/>
  </r>
  <r>
    <x v="174"/>
    <x v="28"/>
  </r>
  <r>
    <x v="175"/>
    <x v="28"/>
  </r>
  <r>
    <x v="176"/>
    <x v="28"/>
  </r>
  <r>
    <x v="177"/>
    <x v="28"/>
  </r>
  <r>
    <x v="178"/>
    <x v="28"/>
  </r>
  <r>
    <x v="179"/>
    <x v="28"/>
  </r>
  <r>
    <x v="180"/>
    <x v="28"/>
  </r>
  <r>
    <x v="181"/>
    <x v="28"/>
  </r>
  <r>
    <x v="182"/>
    <x v="28"/>
  </r>
  <r>
    <x v="183"/>
    <x v="28"/>
  </r>
  <r>
    <x v="184"/>
    <x v="29"/>
  </r>
  <r>
    <x v="185"/>
    <x v="29"/>
  </r>
  <r>
    <x v="186"/>
    <x v="29"/>
  </r>
  <r>
    <x v="187"/>
    <x v="29"/>
  </r>
  <r>
    <x v="188"/>
    <x v="29"/>
  </r>
  <r>
    <x v="189"/>
    <x v="29"/>
  </r>
  <r>
    <x v="190"/>
    <x v="29"/>
  </r>
  <r>
    <x v="191"/>
    <x v="29"/>
  </r>
  <r>
    <x v="192"/>
    <x v="29"/>
  </r>
  <r>
    <x v="193"/>
    <x v="29"/>
  </r>
  <r>
    <x v="194"/>
    <x v="29"/>
  </r>
  <r>
    <x v="195"/>
    <x v="29"/>
  </r>
  <r>
    <x v="196"/>
    <x v="29"/>
  </r>
  <r>
    <x v="197"/>
    <x v="29"/>
  </r>
  <r>
    <x v="198"/>
    <x v="29"/>
  </r>
  <r>
    <x v="199"/>
    <x v="29"/>
  </r>
  <r>
    <x v="200"/>
    <x v="29"/>
  </r>
  <r>
    <x v="201"/>
    <x v="29"/>
  </r>
  <r>
    <x v="202"/>
    <x v="29"/>
  </r>
  <r>
    <x v="203"/>
    <x v="29"/>
  </r>
  <r>
    <x v="204"/>
    <x v="29"/>
  </r>
  <r>
    <x v="205"/>
    <x v="29"/>
  </r>
  <r>
    <x v="206"/>
    <x v="29"/>
  </r>
  <r>
    <x v="207"/>
    <x v="29"/>
  </r>
  <r>
    <x v="208"/>
    <x v="30"/>
  </r>
  <r>
    <x v="209"/>
    <x v="30"/>
  </r>
  <r>
    <x v="210"/>
    <x v="30"/>
  </r>
  <r>
    <x v="211"/>
    <x v="30"/>
  </r>
  <r>
    <x v="212"/>
    <x v="30"/>
  </r>
  <r>
    <x v="213"/>
    <x v="30"/>
  </r>
  <r>
    <x v="214"/>
    <x v="30"/>
  </r>
  <r>
    <x v="215"/>
    <x v="30"/>
  </r>
  <r>
    <x v="216"/>
    <x v="30"/>
  </r>
  <r>
    <x v="217"/>
    <x v="30"/>
  </r>
  <r>
    <x v="218"/>
    <x v="30"/>
  </r>
  <r>
    <x v="219"/>
    <x v="31"/>
  </r>
  <r>
    <x v="220"/>
    <x v="31"/>
  </r>
  <r>
    <x v="221"/>
    <x v="31"/>
  </r>
  <r>
    <x v="222"/>
    <x v="31"/>
  </r>
  <r>
    <x v="223"/>
    <x v="31"/>
  </r>
  <r>
    <x v="224"/>
    <x v="31"/>
  </r>
  <r>
    <x v="225"/>
    <x v="31"/>
  </r>
  <r>
    <x v="226"/>
    <x v="32"/>
  </r>
  <r>
    <x v="227"/>
    <x v="32"/>
  </r>
  <r>
    <x v="228"/>
    <x v="32"/>
  </r>
  <r>
    <x v="229"/>
    <x v="32"/>
  </r>
  <r>
    <x v="230"/>
    <x v="32"/>
  </r>
  <r>
    <x v="231"/>
    <x v="32"/>
  </r>
  <r>
    <x v="232"/>
    <x v="32"/>
  </r>
  <r>
    <x v="233"/>
    <x v="32"/>
  </r>
  <r>
    <x v="234"/>
    <x v="32"/>
  </r>
  <r>
    <x v="235"/>
    <x v="33"/>
  </r>
  <r>
    <x v="236"/>
    <x v="33"/>
  </r>
  <r>
    <x v="237"/>
    <x v="33"/>
  </r>
  <r>
    <x v="238"/>
    <x v="33"/>
  </r>
  <r>
    <x v="239"/>
    <x v="33"/>
  </r>
  <r>
    <x v="240"/>
    <x v="33"/>
  </r>
  <r>
    <x v="241"/>
    <x v="33"/>
  </r>
  <r>
    <x v="242"/>
    <x v="33"/>
  </r>
  <r>
    <x v="243"/>
    <x v="34"/>
  </r>
  <r>
    <x v="244"/>
    <x v="34"/>
  </r>
  <r>
    <x v="245"/>
    <x v="34"/>
  </r>
  <r>
    <x v="246"/>
    <x v="34"/>
  </r>
  <r>
    <x v="247"/>
    <x v="34"/>
  </r>
  <r>
    <x v="248"/>
    <x v="34"/>
  </r>
  <r>
    <x v="249"/>
    <x v="34"/>
  </r>
  <r>
    <x v="250"/>
    <x v="34"/>
  </r>
  <r>
    <x v="251"/>
    <x v="34"/>
  </r>
  <r>
    <x v="252"/>
    <x v="35"/>
  </r>
  <r>
    <x v="253"/>
    <x v="35"/>
  </r>
  <r>
    <x v="254"/>
    <x v="35"/>
  </r>
  <r>
    <x v="255"/>
    <x v="36"/>
  </r>
  <r>
    <x v="256"/>
    <x v="36"/>
  </r>
  <r>
    <x v="257"/>
    <x v="36"/>
  </r>
  <r>
    <x v="258"/>
    <x v="36"/>
  </r>
  <r>
    <x v="259"/>
    <x v="36"/>
  </r>
  <r>
    <x v="260"/>
    <x v="36"/>
  </r>
  <r>
    <x v="261"/>
    <x v="36"/>
  </r>
  <r>
    <x v="262"/>
    <x v="36"/>
  </r>
  <r>
    <x v="263"/>
    <x v="36"/>
  </r>
  <r>
    <x v="264"/>
    <x v="37"/>
  </r>
  <r>
    <x v="265"/>
    <x v="38"/>
  </r>
  <r>
    <x v="266"/>
    <x v="39"/>
  </r>
  <r>
    <x v="267"/>
    <x v="40"/>
  </r>
  <r>
    <x v="268"/>
    <x v="41"/>
  </r>
  <r>
    <x v="269"/>
    <x v="42"/>
  </r>
  <r>
    <x v="269"/>
    <x v="4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">
  <r>
    <m/>
    <s v="250010A"/>
    <s v="Dist Land Rghts Conv O&amp;M to Capx-Fa"/>
    <n v="129324"/>
    <x v="0"/>
    <n v="1.7399999999999999E-2"/>
    <n v="2250"/>
  </r>
  <r>
    <s v="374"/>
    <m/>
    <m/>
    <n v="129324"/>
    <x v="1"/>
    <m/>
    <n v="2250"/>
  </r>
  <r>
    <m/>
    <s v="251100A"/>
    <s v="Mains - Blanket - Flag"/>
    <n v="248768"/>
    <x v="2"/>
    <n v="2.12E-2"/>
    <n v="5274"/>
  </r>
  <r>
    <m/>
    <s v="251101R"/>
    <s v="Mains - Blkt Refunds - Flag"/>
    <n v="-24797"/>
    <x v="2"/>
    <n v="2.12E-2"/>
    <n v="-526"/>
  </r>
  <r>
    <m/>
    <s v="251500B"/>
    <s v="PI Mains - Flagstaff"/>
    <n v="204223"/>
    <x v="2"/>
    <n v="2.12E-2"/>
    <n v="4330"/>
  </r>
  <r>
    <m/>
    <s v="252100A"/>
    <s v="Mains - Blanket - King"/>
    <n v="252473"/>
    <x v="2"/>
    <n v="2.12E-2"/>
    <n v="5352"/>
  </r>
  <r>
    <m/>
    <s v="252101R"/>
    <s v="Mains - Blkt Refunds - King"/>
    <n v="-16850"/>
    <x v="2"/>
    <n v="2.12E-2"/>
    <n v="-357"/>
  </r>
  <r>
    <m/>
    <s v="252400S"/>
    <s v="Mains-System Improv-King"/>
    <n v="100000"/>
    <x v="2"/>
    <n v="2.12E-2"/>
    <n v="2120"/>
  </r>
  <r>
    <m/>
    <s v="252406S"/>
    <s v="Mains PVC Replacement KNG"/>
    <n v="396000"/>
    <x v="2"/>
    <n v="2.12E-2"/>
    <n v="8395"/>
  </r>
  <r>
    <m/>
    <s v="252500B"/>
    <s v="PI Mains - Kingman"/>
    <n v="24627"/>
    <x v="2"/>
    <n v="2.12E-2"/>
    <n v="522"/>
  </r>
  <r>
    <m/>
    <s v="253100A"/>
    <s v="Mains - Blanket - Pres"/>
    <n v="414544"/>
    <x v="2"/>
    <n v="2.12E-2"/>
    <n v="8788"/>
  </r>
  <r>
    <m/>
    <s v="253101R"/>
    <s v="Mains - Blkt Refunds - Pres"/>
    <n v="-58392"/>
    <x v="2"/>
    <n v="2.12E-2"/>
    <n v="-1238"/>
  </r>
  <r>
    <m/>
    <s v="253500B"/>
    <s v="PI Mains - Prescott"/>
    <n v="623465"/>
    <x v="2"/>
    <n v="2.12E-2"/>
    <n v="13217"/>
  </r>
  <r>
    <m/>
    <s v="255100A"/>
    <s v="Mains - Blanket - Verde"/>
    <n v="76039"/>
    <x v="2"/>
    <n v="2.12E-2"/>
    <n v="1612"/>
  </r>
  <r>
    <m/>
    <s v="255101R"/>
    <s v="Mains - Blkt Refunds- Verde"/>
    <n v="-571"/>
    <x v="2"/>
    <n v="2.12E-2"/>
    <n v="-12"/>
  </r>
  <r>
    <m/>
    <s v="256100A"/>
    <s v="Mains - Blanket - Nog"/>
    <n v="185512"/>
    <x v="2"/>
    <n v="2.12E-2"/>
    <n v="3933"/>
  </r>
  <r>
    <m/>
    <s v="256101A"/>
    <s v="Valve Replacement Nogales"/>
    <n v="30793"/>
    <x v="2"/>
    <n v="2.12E-2"/>
    <n v="653"/>
  </r>
  <r>
    <m/>
    <s v="257100A"/>
    <s v="Mains - Blanket - SL"/>
    <n v="107070"/>
    <x v="2"/>
    <n v="2.12E-2"/>
    <n v="2270"/>
  </r>
  <r>
    <m/>
    <s v="257101R"/>
    <s v="Mains - Blanket Refunds - SL"/>
    <n v="-10069"/>
    <x v="2"/>
    <n v="2.12E-2"/>
    <n v="-213"/>
  </r>
  <r>
    <m/>
    <s v="251400S"/>
    <s v="Mains-System Improv-Flag"/>
    <n v="27941"/>
    <x v="2"/>
    <n v="2.12E-2"/>
    <n v="592"/>
  </r>
  <r>
    <m/>
    <s v="257400S"/>
    <s v="Mains-System Improv-Show Low"/>
    <n v="25236"/>
    <x v="2"/>
    <n v="2.12E-2"/>
    <n v="535"/>
  </r>
  <r>
    <m/>
    <s v="257500B"/>
    <s v="PI Mains - Showlow"/>
    <n v="49115"/>
    <x v="2"/>
    <n v="2.12E-2"/>
    <n v="1041"/>
  </r>
  <r>
    <m/>
    <s v="252404S"/>
    <s v="Main &amp; Services PVC Repl KNG"/>
    <n v="120000"/>
    <x v="2"/>
    <n v="2.12E-2"/>
    <n v="2544"/>
  </r>
  <r>
    <m/>
    <s v="252501B"/>
    <s v="PI Mains - Lake Havasu"/>
    <n v="24753"/>
    <x v="2"/>
    <n v="2.12E-2"/>
    <n v="525"/>
  </r>
  <r>
    <m/>
    <s v="253376B"/>
    <s v="Mains Volun Repl - Pres"/>
    <n v="38107"/>
    <x v="2"/>
    <n v="2.12E-2"/>
    <n v="808"/>
  </r>
  <r>
    <m/>
    <s v="253400S"/>
    <s v="Mains-System Improv-Pres"/>
    <n v="43306"/>
    <x v="2"/>
    <n v="2.12E-2"/>
    <n v="918"/>
  </r>
  <r>
    <m/>
    <s v="255500B"/>
    <s v="PI Mains - Verde"/>
    <n v="34777"/>
    <x v="2"/>
    <n v="2.12E-2"/>
    <n v="737"/>
  </r>
  <r>
    <s v="376"/>
    <m/>
    <m/>
    <n v="2916070"/>
    <x v="1"/>
    <m/>
    <n v="61820"/>
  </r>
  <r>
    <m/>
    <s v="251378A"/>
    <s v="Meas&amp;Reg Sta Distribution-Flag"/>
    <n v="55728"/>
    <x v="3"/>
    <n v="2.5000000000000001E-2"/>
    <n v="1393"/>
  </r>
  <r>
    <m/>
    <s v="252378A"/>
    <s v="Meas&amp;Reg Sta Distribution-King"/>
    <n v="97181"/>
    <x v="3"/>
    <n v="2.5000000000000001E-2"/>
    <n v="2430"/>
  </r>
  <r>
    <m/>
    <s v="253378A"/>
    <s v="Meas&amp;Reg Sta Distribution-Pres"/>
    <n v="35276"/>
    <x v="3"/>
    <n v="2.5000000000000001E-2"/>
    <n v="882"/>
  </r>
  <r>
    <m/>
    <s v="255378A"/>
    <s v="Meas&amp;Reg Sta DistributionVerde"/>
    <n v="8314"/>
    <x v="3"/>
    <n v="2.5000000000000001E-2"/>
    <n v="208"/>
  </r>
  <r>
    <m/>
    <s v="256378A"/>
    <s v="Meas&amp;Reg Sta Distribution-Nog"/>
    <n v="114972"/>
    <x v="3"/>
    <n v="2.5000000000000001E-2"/>
    <n v="2874"/>
  </r>
  <r>
    <m/>
    <s v="257378A"/>
    <s v="Meas &amp; Reg Sta Eq Gen- Bl-SL"/>
    <n v="11508"/>
    <x v="3"/>
    <n v="2.5000000000000001E-2"/>
    <n v="288"/>
  </r>
  <r>
    <m/>
    <s v="253379A"/>
    <s v="Meas &amp; Reg Sta Eq Gen-BI-Pres"/>
    <n v="114190"/>
    <x v="3"/>
    <n v="2.5000000000000001E-2"/>
    <n v="2855"/>
  </r>
  <r>
    <s v="378"/>
    <m/>
    <m/>
    <n v="437169"/>
    <x v="1"/>
    <m/>
    <n v="10930"/>
  </r>
  <r>
    <m/>
    <s v="256379A"/>
    <s v="Meas &amp; Reg Sta Eq Gen-BI-Nog"/>
    <n v="2904"/>
    <x v="4"/>
    <n v="2.1000000000000001E-2"/>
    <n v="61"/>
  </r>
  <r>
    <m/>
    <s v="257379A"/>
    <s v="Meas &amp; Reg Sta Eq Gen-FI-SL"/>
    <n v="44813"/>
    <x v="4"/>
    <n v="2.1000000000000001E-2"/>
    <n v="941"/>
  </r>
  <r>
    <s v="379"/>
    <m/>
    <m/>
    <n v="47717"/>
    <x v="1"/>
    <m/>
    <n v="1002"/>
  </r>
  <r>
    <m/>
    <s v="251380R"/>
    <s v="Service Repl - Flag"/>
    <n v="28627"/>
    <x v="5"/>
    <n v="2.3E-2"/>
    <n v="658"/>
  </r>
  <r>
    <m/>
    <s v="252380R"/>
    <s v="Service Repl - King"/>
    <n v="57114"/>
    <x v="5"/>
    <n v="2.3E-2"/>
    <n v="1314"/>
  </r>
  <r>
    <m/>
    <s v="252402S"/>
    <s v="Drisco Pipe Replacement"/>
    <n v="753232"/>
    <x v="5"/>
    <n v="2.3E-2"/>
    <n v="17324"/>
  </r>
  <r>
    <m/>
    <s v="253380B"/>
    <s v="PI Services Repl - Prescott"/>
    <n v="6306"/>
    <x v="5"/>
    <n v="2.3E-2"/>
    <n v="145"/>
  </r>
  <r>
    <m/>
    <s v="253380C"/>
    <s v="PI Service Repl - Prescott Val"/>
    <n v="1598"/>
    <x v="5"/>
    <n v="2.3E-2"/>
    <n v="37"/>
  </r>
  <r>
    <m/>
    <s v="253380R"/>
    <s v="Service Repl - Pres"/>
    <n v="102081"/>
    <x v="5"/>
    <n v="2.3E-2"/>
    <n v="2348"/>
  </r>
  <r>
    <m/>
    <s v="255380R"/>
    <s v="Service Repl - Verde"/>
    <n v="16173"/>
    <x v="5"/>
    <n v="2.3E-2"/>
    <n v="372"/>
  </r>
  <r>
    <m/>
    <s v="256380R"/>
    <s v="Service Repl - Santa Cruz"/>
    <n v="26414"/>
    <x v="5"/>
    <n v="2.3E-2"/>
    <n v="608"/>
  </r>
  <r>
    <m/>
    <s v="257380R"/>
    <s v="Service Repl - Show Low"/>
    <n v="33779"/>
    <x v="5"/>
    <n v="2.3E-2"/>
    <n v="777"/>
  </r>
  <r>
    <s v="380"/>
    <m/>
    <m/>
    <n v="1025324"/>
    <x v="1"/>
    <m/>
    <n v="23583"/>
  </r>
  <r>
    <m/>
    <s v="251381A"/>
    <s v="Meters - Bl - Flag"/>
    <n v="21652"/>
    <x v="6"/>
    <n v="3.5400000000000001E-2"/>
    <n v="766"/>
  </r>
  <r>
    <m/>
    <s v="252381A"/>
    <s v="Meters - Bl - King"/>
    <n v="32220"/>
    <x v="6"/>
    <n v="3.5400000000000001E-2"/>
    <n v="1141"/>
  </r>
  <r>
    <m/>
    <s v="253381A"/>
    <s v="Meters - Bl - Pres"/>
    <n v="1477947"/>
    <x v="6"/>
    <n v="3.5400000000000001E-2"/>
    <n v="52319"/>
  </r>
  <r>
    <m/>
    <s v="255381A"/>
    <s v="Meters - Bl - Verde"/>
    <n v="13601"/>
    <x v="6"/>
    <n v="3.5400000000000001E-2"/>
    <n v="481"/>
  </r>
  <r>
    <m/>
    <s v="256381A"/>
    <s v="Meters - Bl - Nog"/>
    <n v="7326"/>
    <x v="6"/>
    <n v="3.5400000000000001E-2"/>
    <n v="259"/>
  </r>
  <r>
    <m/>
    <s v="257381A"/>
    <s v="Meters - Bl - SL"/>
    <n v="14778"/>
    <x v="6"/>
    <n v="3.5400000000000001E-2"/>
    <n v="523"/>
  </r>
  <r>
    <s v="381"/>
    <m/>
    <m/>
    <n v="1567524"/>
    <x v="1"/>
    <m/>
    <n v="55489"/>
  </r>
  <r>
    <m/>
    <s v="251382A"/>
    <s v="Meter Installations - Bl -Flag"/>
    <n v="101867"/>
    <x v="7"/>
    <n v="3.5400000000000001E-2"/>
    <n v="3606"/>
  </r>
  <r>
    <m/>
    <s v="252382A"/>
    <s v="Meter Installations -Bl - King"/>
    <n v="92392"/>
    <x v="7"/>
    <n v="3.5400000000000001E-2"/>
    <n v="3271"/>
  </r>
  <r>
    <m/>
    <s v="253382A"/>
    <s v="Meter Installations -Bl - Pres"/>
    <n v="134184"/>
    <x v="7"/>
    <n v="3.5400000000000001E-2"/>
    <n v="4750"/>
  </r>
  <r>
    <m/>
    <s v="255382A"/>
    <s v="Meter Installations-Bl - Verde"/>
    <n v="52363"/>
    <x v="7"/>
    <n v="3.5400000000000001E-2"/>
    <n v="1854"/>
  </r>
  <r>
    <m/>
    <s v="256382A"/>
    <s v="Meter Installations - Bl - Nog"/>
    <n v="16540"/>
    <x v="7"/>
    <n v="3.5400000000000001E-2"/>
    <n v="586"/>
  </r>
  <r>
    <m/>
    <s v="257382A"/>
    <s v="Meter Installations - Bl -SL"/>
    <n v="35066"/>
    <x v="7"/>
    <n v="3.5400000000000001E-2"/>
    <n v="1241"/>
  </r>
  <r>
    <s v="382"/>
    <m/>
    <m/>
    <n v="432412"/>
    <x v="1"/>
    <m/>
    <n v="15308"/>
  </r>
  <r>
    <m/>
    <s v="251383A"/>
    <s v="Regulators - Blanket - Flag"/>
    <n v="18043"/>
    <x v="8"/>
    <n v="2.23E-2"/>
    <n v="402"/>
  </r>
  <r>
    <m/>
    <s v="252383A"/>
    <s v="Regulators - Blanket - King"/>
    <n v="25776"/>
    <x v="8"/>
    <n v="2.23E-2"/>
    <n v="575"/>
  </r>
  <r>
    <m/>
    <s v="253383A"/>
    <s v="Regulators - Blanket - Pres"/>
    <n v="35616"/>
    <x v="8"/>
    <n v="2.23E-2"/>
    <n v="794"/>
  </r>
  <r>
    <m/>
    <s v="255383A"/>
    <s v="Regulators - Blanket - Verde"/>
    <n v="9666"/>
    <x v="8"/>
    <n v="2.23E-2"/>
    <n v="216"/>
  </r>
  <r>
    <m/>
    <s v="256383A"/>
    <s v="Regulators - Blanket - Nog"/>
    <n v="2236"/>
    <x v="8"/>
    <n v="2.23E-2"/>
    <n v="50"/>
  </r>
  <r>
    <m/>
    <s v="257383A"/>
    <s v="Regulators - Blanket - SL"/>
    <n v="6341"/>
    <x v="8"/>
    <n v="2.23E-2"/>
    <n v="141"/>
  </r>
  <r>
    <s v="383"/>
    <m/>
    <m/>
    <n v="97678"/>
    <x v="1"/>
    <m/>
    <n v="2178"/>
  </r>
  <r>
    <m/>
    <s v="251384A"/>
    <s v="Regulator Install - Bl - Flag"/>
    <n v="13776"/>
    <x v="9"/>
    <n v="2.52E-2"/>
    <n v="347"/>
  </r>
  <r>
    <m/>
    <s v="252384A"/>
    <s v="Regulator Install - Bl - King"/>
    <n v="19525"/>
    <x v="9"/>
    <n v="2.52E-2"/>
    <n v="492"/>
  </r>
  <r>
    <m/>
    <s v="253384A"/>
    <s v="Regulator Install - Bl - Pres"/>
    <n v="38835"/>
    <x v="9"/>
    <n v="2.52E-2"/>
    <n v="979"/>
  </r>
  <r>
    <m/>
    <s v="255384A"/>
    <s v="Regulator Install- Bl - Verde"/>
    <n v="17981"/>
    <x v="9"/>
    <n v="2.52E-2"/>
    <n v="453"/>
  </r>
  <r>
    <m/>
    <s v="257384A"/>
    <s v="Regulator Install - Bl - SL"/>
    <n v="9528"/>
    <x v="9"/>
    <n v="2.52E-2"/>
    <n v="240"/>
  </r>
  <r>
    <m/>
    <s v="256384A"/>
    <s v="Regulator Install - Bl - Nog"/>
    <n v="475"/>
    <x v="9"/>
    <n v="2.52E-2"/>
    <n v="12"/>
  </r>
  <r>
    <s v="384"/>
    <m/>
    <m/>
    <n v="100120"/>
    <x v="1"/>
    <m/>
    <n v="2523"/>
  </r>
  <r>
    <m/>
    <s v="251385A"/>
    <s v="Industrial Metering - Flag"/>
    <n v="32520"/>
    <x v="10"/>
    <n v="2.2599999999999999E-2"/>
    <n v="735"/>
  </r>
  <r>
    <m/>
    <s v="253385A"/>
    <s v="Industrial Metering - Pres"/>
    <n v="46324"/>
    <x v="10"/>
    <n v="2.2599999999999999E-2"/>
    <n v="1047"/>
  </r>
  <r>
    <m/>
    <s v="255385A"/>
    <s v="Industrial Metering - Verde"/>
    <n v="16369"/>
    <x v="10"/>
    <n v="2.2599999999999999E-2"/>
    <n v="370"/>
  </r>
  <r>
    <m/>
    <s v="257385A"/>
    <s v="Industrial Metering-Show Low"/>
    <n v="17328"/>
    <x v="10"/>
    <n v="2.2599999999999999E-2"/>
    <n v="392"/>
  </r>
  <r>
    <m/>
    <s v="252385A"/>
    <s v="Ind Meas &amp; Reg Sta Eq-Bl- King"/>
    <n v="14642"/>
    <x v="10"/>
    <n v="2.2599999999999999E-2"/>
    <n v="331"/>
  </r>
  <r>
    <s v="385"/>
    <m/>
    <m/>
    <n v="127183"/>
    <x v="1"/>
    <m/>
    <n v="2875"/>
  </r>
  <r>
    <m/>
    <s v="252387A"/>
    <s v="Other Distr Eq CP-Bl - King"/>
    <n v="61351"/>
    <x v="11"/>
    <n v="1.9300000000000001E-2"/>
    <n v="1184"/>
  </r>
  <r>
    <m/>
    <s v="251387A"/>
    <s v="Other Distr Equip CP-Bl - Flag"/>
    <n v="10197"/>
    <x v="11"/>
    <n v="1.9300000000000001E-2"/>
    <n v="197"/>
  </r>
  <r>
    <m/>
    <s v="255387A"/>
    <s v="Other Distr Eq CP - Bl - Verde"/>
    <n v="3474"/>
    <x v="11"/>
    <n v="1.9300000000000001E-2"/>
    <n v="67"/>
  </r>
  <r>
    <m/>
    <s v="253387A"/>
    <s v="Other Distr Equip CP-Bl-Pres"/>
    <n v="16082"/>
    <x v="11"/>
    <n v="1.9300000000000001E-2"/>
    <n v="310"/>
  </r>
  <r>
    <m/>
    <s v="256387A"/>
    <s v="Other Distr Eq CP - Bl - Nog"/>
    <n v="24844"/>
    <x v="11"/>
    <n v="1.9300000000000001E-2"/>
    <n v="479"/>
  </r>
  <r>
    <m/>
    <s v="257387A"/>
    <s v="Other Distr Equip CP-Bl - SL"/>
    <n v="47372"/>
    <x v="11"/>
    <n v="1.9300000000000001E-2"/>
    <n v="914"/>
  </r>
  <r>
    <s v="387"/>
    <m/>
    <m/>
    <n v="163320"/>
    <x v="1"/>
    <m/>
    <n v="3151"/>
  </r>
  <r>
    <m/>
    <s v="253900A"/>
    <s v="Struct &amp; Improv - New (Pres)"/>
    <n v="77460"/>
    <x v="12"/>
    <n v="2.81E-2"/>
    <n v="2177"/>
  </r>
  <r>
    <m/>
    <s v="255900A"/>
    <s v="Struct &amp; Improv- New (Verde)"/>
    <n v="26414"/>
    <x v="12"/>
    <n v="2.81E-2"/>
    <n v="742"/>
  </r>
  <r>
    <m/>
    <s v="253901A"/>
    <s v="UNSG Training Facility"/>
    <n v="90248"/>
    <x v="12"/>
    <n v="2.81E-2"/>
    <n v="2536"/>
  </r>
  <r>
    <m/>
    <s v="257900A"/>
    <s v="Structures &amp; Improv-New SL"/>
    <n v="5679"/>
    <x v="12"/>
    <n v="2.81E-2"/>
    <n v="160"/>
  </r>
  <r>
    <s v="390"/>
    <m/>
    <m/>
    <n v="199801"/>
    <x v="1"/>
    <m/>
    <n v="5615"/>
  </r>
  <r>
    <m/>
    <s v="250912A"/>
    <s v="Comp Equip - UNSG"/>
    <n v="49718"/>
    <x v="13"/>
    <n v="0.2"/>
    <n v="9944"/>
  </r>
  <r>
    <m/>
    <s v="250916A"/>
    <s v="Network IT Equip - UNSG"/>
    <n v="32000"/>
    <x v="13"/>
    <n v="0.2"/>
    <n v="6400"/>
  </r>
  <r>
    <m/>
    <s v="250917A"/>
    <s v="Systems IT Equip - UNSG"/>
    <n v="26009"/>
    <x v="13"/>
    <n v="0.2"/>
    <n v="5202"/>
  </r>
  <r>
    <m/>
    <s v="252910A"/>
    <s v="Office Furn &amp; Equip-New (King)"/>
    <n v="30060"/>
    <x v="14"/>
    <n v="4.5499999999999999E-2"/>
    <n v="1368"/>
  </r>
  <r>
    <m/>
    <s v="253910A"/>
    <s v="Office Furn &amp; Eq - New (Pres)"/>
    <n v="3750"/>
    <x v="14"/>
    <n v="4.5499999999999999E-2"/>
    <n v="171"/>
  </r>
  <r>
    <s v="391"/>
    <m/>
    <m/>
    <n v="141537"/>
    <x v="1"/>
    <m/>
    <n v="23085"/>
  </r>
  <r>
    <m/>
    <s v="250000A"/>
    <s v="UNSG Transportation Equip"/>
    <n v="654798"/>
    <x v="15"/>
    <n v="3.4599999999999999E-2"/>
    <n v="22656"/>
  </r>
  <r>
    <s v="392"/>
    <m/>
    <m/>
    <n v="654798"/>
    <x v="1"/>
    <m/>
    <n v="22656"/>
  </r>
  <r>
    <m/>
    <s v="250940A"/>
    <s v="Tools,Shop,Gar Eq - New"/>
    <n v="17750"/>
    <x v="16"/>
    <n v="0.04"/>
    <n v="710"/>
  </r>
  <r>
    <m/>
    <s v="251940A"/>
    <s v="Tools,Shop,Gar Eq-New(Flag)"/>
    <n v="7000"/>
    <x v="16"/>
    <n v="0.04"/>
    <n v="280"/>
  </r>
  <r>
    <m/>
    <s v="252940A"/>
    <s v="Tool,Shop,Gar Eq-New (King)"/>
    <n v="28800"/>
    <x v="16"/>
    <n v="0.04"/>
    <n v="1152"/>
  </r>
  <r>
    <m/>
    <s v="253940A"/>
    <s v="Tools,Shop,Gar Eq-New (Pres)"/>
    <n v="35604"/>
    <x v="16"/>
    <n v="0.04"/>
    <n v="1424"/>
  </r>
  <r>
    <m/>
    <s v="256940A"/>
    <s v="Tools,Shop,Gar Eq-New (Nog)"/>
    <n v="15000"/>
    <x v="16"/>
    <n v="0.04"/>
    <n v="600"/>
  </r>
  <r>
    <m/>
    <s v="257940A"/>
    <s v="Tools,Shop,Gar Eq - New SL"/>
    <n v="40000"/>
    <x v="16"/>
    <n v="0.04"/>
    <n v="1600"/>
  </r>
  <r>
    <s v="394"/>
    <m/>
    <m/>
    <n v="144154"/>
    <x v="1"/>
    <m/>
    <n v="5766"/>
  </r>
  <r>
    <m/>
    <s v="250970A"/>
    <s v="Comm Equip - New"/>
    <n v="466434"/>
    <x v="17"/>
    <n v="6.6699999999999995E-2"/>
    <n v="31111"/>
  </r>
  <r>
    <m/>
    <s v="257970A"/>
    <s v="Comm Equip- New SL"/>
    <n v="9460"/>
    <x v="17"/>
    <n v="6.6699999999999995E-2"/>
    <n v="631"/>
  </r>
  <r>
    <m/>
    <s v="250973A"/>
    <s v="UNSG Fixed Network Replacement"/>
    <n v="1871475"/>
    <x v="17"/>
    <n v="6.6699999999999995E-2"/>
    <n v="124827"/>
  </r>
  <r>
    <m/>
    <s v="251970A"/>
    <s v="Comm Equip - New (Flag)"/>
    <n v="3037"/>
    <x v="17"/>
    <n v="6.6699999999999995E-2"/>
    <n v="203"/>
  </r>
  <r>
    <m/>
    <s v="253970A"/>
    <s v="Comm Equip - New (Pres)"/>
    <n v="3068"/>
    <x v="17"/>
    <n v="6.6699999999999995E-2"/>
    <n v="205"/>
  </r>
  <r>
    <m/>
    <s v="255970A"/>
    <s v="Comm Equip - New (Verde)"/>
    <n v="1381"/>
    <x v="17"/>
    <n v="6.6699999999999995E-2"/>
    <n v="92"/>
  </r>
  <r>
    <s v="397"/>
    <m/>
    <m/>
    <n v="2354855"/>
    <x v="1"/>
    <m/>
    <n v="157069"/>
  </r>
  <r>
    <m/>
    <m/>
    <m/>
    <n v="10538986"/>
    <x v="1"/>
    <m/>
    <n v="3953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31CA7C-4CBF-40CF-8F4D-71F83C12510A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B21" firstHeaderRow="1" firstDataRow="1" firstDataCol="1"/>
  <pivotFields count="7">
    <pivotField showAll="0"/>
    <pivotField showAll="0"/>
    <pivotField showAll="0"/>
    <pivotField dataField="1" numFmtId="165" showAll="0"/>
    <pivotField axis="axisRow" showAll="0">
      <items count="19"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h="1" x="1"/>
        <item t="default"/>
      </items>
    </pivotField>
    <pivotField showAll="0"/>
    <pivotField numFmtId="165" showAll="0"/>
  </pivotFields>
  <rowFields count="1">
    <field x="4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 of JUL-26 thru DEC-26 Total" fld="3" baseField="0" baseItem="0" numFmtId="165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FEE14A-916B-4F23-9DDA-9CAFD0B77B2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258" firstHeaderRow="1" firstDataRow="1" firstDataCol="1"/>
  <pivotFields count="2">
    <pivotField axis="axisRow" showAll="0">
      <items count="2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x="15"/>
        <item x="16"/>
        <item x="17"/>
        <item x="18"/>
        <item x="19"/>
        <item x="24"/>
        <item x="25"/>
        <item x="26"/>
        <item x="27"/>
        <item x="28"/>
        <item x="29"/>
        <item x="30"/>
        <item x="31"/>
        <item x="34"/>
        <item x="35"/>
        <item x="36"/>
        <item x="37"/>
        <item x="40"/>
        <item x="41"/>
        <item x="42"/>
        <item x="43"/>
        <item x="44"/>
        <item x="45"/>
        <item x="46"/>
        <item x="49"/>
        <item x="50"/>
        <item x="51"/>
        <item x="52"/>
        <item x="53"/>
        <item x="54"/>
        <item x="55"/>
        <item x="56"/>
        <item x="57"/>
        <item x="60"/>
        <item x="61"/>
        <item x="62"/>
        <item x="63"/>
        <item x="64"/>
        <item x="67"/>
        <item x="68"/>
        <item x="69"/>
        <item x="70"/>
        <item x="71"/>
        <item x="72"/>
        <item x="75"/>
        <item x="76"/>
        <item x="77"/>
        <item x="78"/>
        <item x="79"/>
        <item x="80"/>
        <item x="81"/>
        <item x="82"/>
        <item x="83"/>
        <item x="89"/>
        <item x="90"/>
        <item x="91"/>
        <item x="92"/>
        <item x="93"/>
        <item x="96"/>
        <item x="97"/>
        <item x="98"/>
        <item x="99"/>
        <item x="100"/>
        <item x="103"/>
        <item x="105"/>
        <item x="106"/>
        <item x="107"/>
        <item x="109"/>
        <item x="110"/>
        <item x="111"/>
        <item x="113"/>
        <item x="114"/>
        <item x="115"/>
        <item x="117"/>
        <item x="118"/>
        <item x="119"/>
        <item x="120"/>
        <item x="121"/>
        <item x="122"/>
        <item x="130"/>
        <item x="132"/>
        <item x="133"/>
        <item x="135"/>
        <item x="137"/>
        <item x="139"/>
        <item x="141"/>
        <item x="143"/>
        <item x="144"/>
        <item x="146"/>
        <item x="147"/>
        <item x="150"/>
        <item x="152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9"/>
        <item x="220"/>
        <item x="221"/>
        <item x="222"/>
        <item x="223"/>
        <item x="226"/>
        <item x="227"/>
        <item x="228"/>
        <item x="229"/>
        <item x="230"/>
        <item x="231"/>
        <item x="232"/>
        <item x="233"/>
        <item x="235"/>
        <item x="236"/>
        <item x="237"/>
        <item x="238"/>
        <item x="239"/>
        <item x="240"/>
        <item x="241"/>
        <item x="243"/>
        <item x="244"/>
        <item x="245"/>
        <item x="246"/>
        <item x="247"/>
        <item x="248"/>
        <item x="249"/>
        <item x="250"/>
        <item x="252"/>
        <item x="253"/>
        <item x="255"/>
        <item x="256"/>
        <item x="257"/>
        <item x="258"/>
        <item x="259"/>
        <item x="260"/>
        <item x="261"/>
        <item x="262"/>
        <item h="1" x="20"/>
        <item h="1" x="84"/>
        <item h="1" x="123"/>
        <item h="1" x="12"/>
        <item h="1" x="13"/>
        <item h="1" x="21"/>
        <item h="1" x="22"/>
        <item h="1" x="23"/>
        <item h="1" x="32"/>
        <item h="1" x="33"/>
        <item h="1" x="38"/>
        <item h="1" x="39"/>
        <item h="1" x="47"/>
        <item h="1" x="48"/>
        <item h="1" x="58"/>
        <item h="1" x="59"/>
        <item h="1" x="65"/>
        <item h="1" x="66"/>
        <item h="1" x="73"/>
        <item h="1" x="74"/>
        <item h="1" x="85"/>
        <item h="1" x="86"/>
        <item h="1" x="87"/>
        <item h="1" x="94"/>
        <item h="1" x="95"/>
        <item h="1" x="101"/>
        <item h="1" x="102"/>
        <item h="1" x="104"/>
        <item h="1" x="108"/>
        <item h="1" x="112"/>
        <item h="1" x="116"/>
        <item h="1" x="124"/>
        <item h="1" x="125"/>
        <item h="1" x="126"/>
        <item h="1" x="127"/>
        <item h="1" x="128"/>
        <item h="1" x="131"/>
        <item h="1" x="134"/>
        <item h="1" x="136"/>
        <item h="1" x="138"/>
        <item h="1" x="140"/>
        <item h="1" x="142"/>
        <item h="1" x="145"/>
        <item h="1" x="148"/>
        <item h="1" x="149"/>
        <item h="1" x="151"/>
        <item h="1" x="153"/>
        <item h="1" x="159"/>
        <item h="1" x="183"/>
        <item h="1" x="218"/>
        <item h="1" x="224"/>
        <item h="1" x="225"/>
        <item h="1" x="234"/>
        <item h="1" x="242"/>
        <item h="1" x="251"/>
        <item h="1" x="254"/>
        <item h="1" x="263"/>
        <item h="1" x="88"/>
        <item h="1" x="129"/>
        <item x="264"/>
        <item x="265"/>
        <item x="266"/>
        <item x="267"/>
        <item x="268"/>
        <item x="269"/>
        <item t="default"/>
      </items>
    </pivotField>
    <pivotField axis="axisRow" showAll="0" sortType="ascending">
      <items count="44">
        <item x="37"/>
        <item x="38"/>
        <item x="39"/>
        <item x="40"/>
        <item x="4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42"/>
        <item t="default"/>
      </items>
    </pivotField>
  </pivotFields>
  <rowFields count="2">
    <field x="1"/>
    <field x="0"/>
  </rowFields>
  <rowItems count="255">
    <i>
      <x/>
    </i>
    <i r="1">
      <x v="264"/>
    </i>
    <i>
      <x v="1"/>
    </i>
    <i r="1">
      <x v="265"/>
    </i>
    <i>
      <x v="2"/>
    </i>
    <i r="1">
      <x v="266"/>
    </i>
    <i>
      <x v="3"/>
    </i>
    <i r="1">
      <x v="267"/>
    </i>
    <i>
      <x v="4"/>
    </i>
    <i r="1">
      <x v="268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6"/>
    </i>
    <i r="1">
      <x v="12"/>
    </i>
    <i r="1">
      <x v="13"/>
    </i>
    <i r="1">
      <x v="14"/>
    </i>
    <i r="1">
      <x v="15"/>
    </i>
    <i r="1">
      <x v="16"/>
    </i>
    <i r="1">
      <x v="17"/>
    </i>
    <i>
      <x v="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>
      <x v="8"/>
    </i>
    <i r="1">
      <x v="26"/>
    </i>
    <i r="1">
      <x v="27"/>
    </i>
    <i r="1">
      <x v="28"/>
    </i>
    <i r="1">
      <x v="29"/>
    </i>
    <i>
      <x v="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0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>
      <x v="11"/>
    </i>
    <i r="1">
      <x v="46"/>
    </i>
    <i r="1">
      <x v="47"/>
    </i>
    <i r="1">
      <x v="48"/>
    </i>
    <i r="1">
      <x v="49"/>
    </i>
    <i r="1">
      <x v="50"/>
    </i>
    <i>
      <x v="12"/>
    </i>
    <i r="1">
      <x v="51"/>
    </i>
    <i r="1">
      <x v="52"/>
    </i>
    <i r="1">
      <x v="53"/>
    </i>
    <i r="1">
      <x v="54"/>
    </i>
    <i r="1">
      <x v="55"/>
    </i>
    <i r="1">
      <x v="56"/>
    </i>
    <i>
      <x v="13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14"/>
    </i>
    <i r="1">
      <x v="66"/>
    </i>
    <i r="1">
      <x v="67"/>
    </i>
    <i r="1">
      <x v="68"/>
    </i>
    <i r="1">
      <x v="69"/>
    </i>
    <i r="1">
      <x v="70"/>
    </i>
    <i>
      <x v="15"/>
    </i>
    <i r="1">
      <x v="71"/>
    </i>
    <i r="1">
      <x v="72"/>
    </i>
    <i r="1">
      <x v="73"/>
    </i>
    <i r="1">
      <x v="74"/>
    </i>
    <i r="1">
      <x v="75"/>
    </i>
    <i>
      <x v="16"/>
    </i>
    <i r="1">
      <x v="76"/>
    </i>
    <i>
      <x v="17"/>
    </i>
    <i r="1">
      <x v="77"/>
    </i>
    <i r="1">
      <x v="78"/>
    </i>
    <i r="1">
      <x v="79"/>
    </i>
    <i>
      <x v="18"/>
    </i>
    <i r="1">
      <x v="80"/>
    </i>
    <i r="1">
      <x v="81"/>
    </i>
    <i r="1">
      <x v="82"/>
    </i>
    <i>
      <x v="19"/>
    </i>
    <i r="1">
      <x v="83"/>
    </i>
    <i>
      <x v="20"/>
    </i>
    <i r="1">
      <x v="84"/>
    </i>
    <i r="1">
      <x v="85"/>
    </i>
    <i>
      <x v="21"/>
    </i>
    <i r="1">
      <x v="86"/>
    </i>
    <i r="1">
      <x v="87"/>
    </i>
    <i r="1">
      <x v="88"/>
    </i>
    <i r="1">
      <x v="89"/>
    </i>
    <i r="1">
      <x v="90"/>
    </i>
    <i r="1">
      <x v="91"/>
    </i>
    <i>
      <x v="22"/>
    </i>
    <i r="1">
      <x v="92"/>
    </i>
    <i>
      <x v="23"/>
    </i>
    <i r="1">
      <x v="93"/>
    </i>
    <i r="1">
      <x v="94"/>
    </i>
    <i>
      <x v="24"/>
    </i>
    <i r="1">
      <x v="95"/>
    </i>
    <i>
      <x v="25"/>
    </i>
    <i r="1">
      <x v="96"/>
    </i>
    <i>
      <x v="26"/>
    </i>
    <i r="1">
      <x v="97"/>
    </i>
    <i>
      <x v="27"/>
    </i>
    <i r="1">
      <x v="98"/>
    </i>
    <i>
      <x v="28"/>
    </i>
    <i r="1">
      <x v="99"/>
    </i>
    <i r="1">
      <x v="100"/>
    </i>
    <i>
      <x v="29"/>
    </i>
    <i r="1">
      <x v="101"/>
    </i>
    <i r="1">
      <x v="102"/>
    </i>
    <i>
      <x v="30"/>
    </i>
    <i r="1">
      <x v="103"/>
    </i>
    <i>
      <x v="31"/>
    </i>
    <i r="1">
      <x v="104"/>
    </i>
    <i>
      <x v="32"/>
    </i>
    <i r="1">
      <x v="105"/>
    </i>
    <i r="1">
      <x v="106"/>
    </i>
    <i r="1">
      <x v="107"/>
    </i>
    <i r="1">
      <x v="108"/>
    </i>
    <i r="1">
      <x v="109"/>
    </i>
    <i>
      <x v="33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>
      <x v="34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>
      <x v="35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>
      <x v="36"/>
    </i>
    <i r="1">
      <x v="167"/>
    </i>
    <i r="1">
      <x v="168"/>
    </i>
    <i r="1">
      <x v="169"/>
    </i>
    <i r="1">
      <x v="170"/>
    </i>
    <i r="1">
      <x v="171"/>
    </i>
    <i>
      <x v="37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>
      <x v="38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>
      <x v="39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>
      <x v="40"/>
    </i>
    <i r="1">
      <x v="195"/>
    </i>
    <i r="1">
      <x v="196"/>
    </i>
    <i>
      <x v="41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>
      <x v="42"/>
    </i>
    <i r="1">
      <x v="26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" displayName="Table3" ref="B6:X16" totalsRowShown="0" headerRowDxfId="50" headerRowBorderDxfId="49" tableBorderDxfId="48">
  <tableColumns count="23">
    <tableColumn id="1" xr3:uid="{00000000-0010-0000-0000-000001000000}" name="Item" dataDxfId="47" totalsRowDxfId="46"/>
    <tableColumn id="2" xr3:uid="{00000000-0010-0000-0000-000002000000}" name="Company" dataDxfId="45" totalsRowDxfId="44"/>
    <tableColumn id="3" xr3:uid="{00000000-0010-0000-0000-000003000000}" name="Adjustment type" dataDxfId="43" totalsRowDxfId="42"/>
    <tableColumn id="4" xr3:uid="{00000000-0010-0000-0000-000004000000}" name="Asset #" dataDxfId="41" totalsRowDxfId="40"/>
    <tableColumn id="5" xr3:uid="{00000000-0010-0000-0000-000005000000}" name="Asset Description" dataDxfId="39" totalsRowDxfId="38"/>
    <tableColumn id="6" xr3:uid="{00000000-0010-0000-0000-000006000000}" name="Current_x000a_Depr Group" dataDxfId="37" totalsRowDxfId="36"/>
    <tableColumn id="7" xr3:uid="{00000000-0010-0000-0000-000007000000}" name="New_x000a_Depr Group" dataDxfId="35" totalsRowDxfId="34"/>
    <tableColumn id="8" xr3:uid="{00000000-0010-0000-0000-000008000000}" name="ISD" dataDxfId="33" totalsRowDxfId="32" dataCellStyle="Comma"/>
    <tableColumn id="9" xr3:uid="{00000000-0010-0000-0000-000009000000}" name="dr(cr) Cost Retired" dataDxfId="31" totalsRowDxfId="30" dataCellStyle="Comma"/>
    <tableColumn id="10" xr3:uid="{00000000-0010-0000-0000-00000A000000}" name="Proceeds" dataDxfId="29" totalsRowDxfId="28" dataCellStyle="Comma"/>
    <tableColumn id="11" xr3:uid="{00000000-0010-0000-0000-00000B000000}" name="COR" dataDxfId="27" totalsRowDxfId="26" dataCellStyle="Comma"/>
    <tableColumn id="12" xr3:uid="{00000000-0010-0000-0000-00000C000000}" name="Current" dataDxfId="25" totalsRowDxfId="24" dataCellStyle="Comma">
      <calculatedColumnFormula>[22]!Table3[[#This Row],[dr(cr) Cost Retired]]</calculatedColumnFormula>
    </tableColumn>
    <tableColumn id="13" xr3:uid="{00000000-0010-0000-0000-00000D000000}" name="New" dataDxfId="23" totalsRowDxfId="22" dataCellStyle="Comma">
      <calculatedColumnFormula>Table3[[#This Row],[Current]]+Table3[[#This Row],[Adjust]]</calculatedColumnFormula>
    </tableColumn>
    <tableColumn id="14" xr3:uid="{00000000-0010-0000-0000-00000E000000}" name="Adjust" dataDxfId="21" totalsRowDxfId="20" dataCellStyle="Comma">
      <calculatedColumnFormula>Table3[[#This Row],[dr(cr) Cost Retired]]</calculatedColumnFormula>
    </tableColumn>
    <tableColumn id="25" xr3:uid="{00000000-0010-0000-0000-000019000000}" name="Current2" dataDxfId="19" totalsRowDxfId="18"/>
    <tableColumn id="26" xr3:uid="{00000000-0010-0000-0000-00001A000000}" name="New9" dataDxfId="17" totalsRowDxfId="16"/>
    <tableColumn id="27" xr3:uid="{00000000-0010-0000-0000-00001B000000}" name="Current10" dataDxfId="15" totalsRowDxfId="14"/>
    <tableColumn id="28" xr3:uid="{00000000-0010-0000-0000-00001C000000}" name="New11" dataDxfId="13" totalsRowDxfId="12"/>
    <tableColumn id="29" xr3:uid="{00000000-0010-0000-0000-00001D000000}" name="Current12" dataDxfId="11" totalsRowDxfId="10"/>
    <tableColumn id="30" xr3:uid="{00000000-0010-0000-0000-00001E000000}" name="New13" dataDxfId="9" totalsRowDxfId="8"/>
    <tableColumn id="40" xr3:uid="{00000000-0010-0000-0000-000028000000}" name="Comments" dataDxfId="7" totalsRowDxfId="6"/>
    <tableColumn id="41" xr3:uid="{00000000-0010-0000-0000-000029000000}" name="Prepared" dataDxfId="5" totalsRowDxfId="4"/>
    <tableColumn id="43" xr3:uid="{00000000-0010-0000-0000-00002B000000}" name="Date Entered in PowerPlan" dataDxfId="3" totalsRowDxfId="2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C:\Users\ua56647\AppData\Roaming\Microsoft\Excel\Support%20not%20included\Exhibit%20REW-1.pd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Files%20not%20Sent/UNSG%20Depr%20and%20Amor%20%20ADIT%20Supporting%20Adjustments%20JUNE.xlsx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file:///C:\Users\ua56647\AppData\Roaming\Microsoft\Excel\Support%20not%20included\Rate%20Base%20-%20Build-Out%20Plant%20Adjustment.xls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Files%20not%20Sent/UNSG%20Depr%20and%20Amor%20%20ADIT%20Supporting%20Adjustments%20JUNE.xlsx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Files%20not%20Sent/UNSG%20Depr%20and%20Amor%20%20ADIT%20Supporting%20Adjustments%20JUNE.xlsx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Files%20not%20Sent/UNSG%20Depr%20and%20Amor%20%20ADIT%20Supporting%20Adjustments%20JUNE.xlsx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file:///C:\Users\Close\Fixed%20Asset%20Close\2022\Manual%20Entries\02-FEB\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../2%20-%20Post%20Test%20Year%20Plant/Post%20Test%20Year%20-%20Jun-26.xlsx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28A0-AF8A-46D9-82E7-B5A78AB51E9F}">
  <sheetPr>
    <pageSetUpPr fitToPage="1"/>
  </sheetPr>
  <dimension ref="A1:E60"/>
  <sheetViews>
    <sheetView topLeftCell="A30" zoomScale="90" zoomScaleNormal="90" workbookViewId="0">
      <selection activeCell="B10" sqref="B10"/>
    </sheetView>
  </sheetViews>
  <sheetFormatPr defaultRowHeight="15"/>
  <cols>
    <col min="1" max="1" width="20.5703125" customWidth="1"/>
    <col min="2" max="2" width="46.42578125" bestFit="1" customWidth="1"/>
    <col min="3" max="4" width="15.5703125" customWidth="1"/>
  </cols>
  <sheetData>
    <row r="1" spans="1:4">
      <c r="A1" s="442" t="s">
        <v>1154</v>
      </c>
      <c r="B1" s="443"/>
      <c r="C1" s="443"/>
      <c r="D1" s="443"/>
    </row>
    <row r="2" spans="1:4">
      <c r="A2" s="700" t="s">
        <v>137</v>
      </c>
      <c r="B2" s="700"/>
      <c r="C2" s="700"/>
      <c r="D2" s="700"/>
    </row>
    <row r="3" spans="1:4">
      <c r="A3" s="442" t="s">
        <v>1298</v>
      </c>
      <c r="B3" s="443"/>
      <c r="C3" s="443"/>
      <c r="D3" s="443"/>
    </row>
    <row r="4" spans="1:4">
      <c r="A4" s="444"/>
      <c r="B4" s="444"/>
      <c r="C4" s="444"/>
      <c r="D4" s="444"/>
    </row>
    <row r="5" spans="1:4">
      <c r="A5" s="444"/>
      <c r="B5" s="444"/>
      <c r="C5" s="444"/>
      <c r="D5" s="444"/>
    </row>
    <row r="6" spans="1:4">
      <c r="A6" s="445"/>
      <c r="B6" s="444"/>
      <c r="C6" s="444"/>
      <c r="D6" s="444"/>
    </row>
    <row r="7" spans="1:4" ht="25.5">
      <c r="A7" s="446" t="s">
        <v>94</v>
      </c>
      <c r="B7" s="522" t="s">
        <v>1293</v>
      </c>
      <c r="C7" s="444"/>
      <c r="D7" s="444"/>
    </row>
    <row r="8" spans="1:4">
      <c r="A8" s="446" t="s">
        <v>95</v>
      </c>
      <c r="B8" s="448" t="s">
        <v>149</v>
      </c>
      <c r="C8" s="449"/>
      <c r="D8" s="444"/>
    </row>
    <row r="9" spans="1:4">
      <c r="A9" s="446" t="s">
        <v>96</v>
      </c>
      <c r="B9" s="450">
        <v>46245</v>
      </c>
      <c r="C9" s="444"/>
      <c r="D9" s="444"/>
    </row>
    <row r="10" spans="1:4">
      <c r="A10" s="446" t="s">
        <v>97</v>
      </c>
      <c r="B10" s="448"/>
      <c r="C10" s="444"/>
      <c r="D10" s="444"/>
    </row>
    <row r="11" spans="1:4">
      <c r="A11" s="446" t="s">
        <v>98</v>
      </c>
      <c r="B11" s="448"/>
      <c r="C11" s="444"/>
      <c r="D11" s="444"/>
    </row>
    <row r="12" spans="1:4">
      <c r="A12" s="446" t="s">
        <v>99</v>
      </c>
      <c r="B12" s="448"/>
      <c r="C12" s="444"/>
      <c r="D12" s="444"/>
    </row>
    <row r="13" spans="1:4">
      <c r="A13" s="444"/>
      <c r="B13" s="444"/>
      <c r="C13" s="444"/>
      <c r="D13" s="444"/>
    </row>
    <row r="14" spans="1:4">
      <c r="A14" s="444"/>
      <c r="B14" s="444"/>
      <c r="C14" s="444"/>
      <c r="D14" s="444"/>
    </row>
    <row r="15" spans="1:4">
      <c r="A15" s="451" t="s">
        <v>100</v>
      </c>
      <c r="B15" s="520"/>
      <c r="C15" s="452"/>
      <c r="D15" s="452"/>
    </row>
    <row r="16" spans="1:4">
      <c r="A16" s="453" t="s">
        <v>101</v>
      </c>
      <c r="B16" s="454" t="s">
        <v>102</v>
      </c>
      <c r="C16" s="453" t="s">
        <v>103</v>
      </c>
      <c r="D16" s="453" t="s">
        <v>104</v>
      </c>
    </row>
    <row r="17" spans="1:4">
      <c r="A17" s="453" t="s">
        <v>227</v>
      </c>
      <c r="B17" s="454" t="s">
        <v>150</v>
      </c>
      <c r="C17" s="455"/>
      <c r="D17" s="453"/>
    </row>
    <row r="18" spans="1:4">
      <c r="A18" s="511" t="s">
        <v>1254</v>
      </c>
      <c r="B18" s="509" t="s">
        <v>808</v>
      </c>
      <c r="C18" s="510">
        <v>1615</v>
      </c>
      <c r="D18" s="510"/>
    </row>
    <row r="19" spans="1:4">
      <c r="A19" s="511" t="s">
        <v>108</v>
      </c>
      <c r="B19" s="509" t="s">
        <v>109</v>
      </c>
      <c r="C19" s="510"/>
      <c r="D19" s="510">
        <v>2028</v>
      </c>
    </row>
    <row r="20" spans="1:4">
      <c r="A20" s="511"/>
      <c r="B20" s="509"/>
      <c r="C20" s="510"/>
      <c r="D20" s="510"/>
    </row>
    <row r="21" spans="1:4">
      <c r="A21" s="512" t="s">
        <v>121</v>
      </c>
      <c r="B21" s="509" t="s">
        <v>816</v>
      </c>
      <c r="C21" s="510"/>
      <c r="D21" s="510">
        <v>40</v>
      </c>
    </row>
    <row r="22" spans="1:4">
      <c r="A22" s="512" t="s">
        <v>122</v>
      </c>
      <c r="B22" s="509" t="s">
        <v>54</v>
      </c>
      <c r="C22" s="510">
        <v>4</v>
      </c>
      <c r="D22" s="510"/>
    </row>
    <row r="23" spans="1:4">
      <c r="A23" s="511" t="s">
        <v>123</v>
      </c>
      <c r="B23" s="447" t="s">
        <v>817</v>
      </c>
      <c r="C23" s="510"/>
      <c r="D23" s="510">
        <v>63754</v>
      </c>
    </row>
    <row r="24" spans="1:4">
      <c r="A24" s="511" t="s">
        <v>125</v>
      </c>
      <c r="B24" s="447" t="s">
        <v>1255</v>
      </c>
      <c r="C24" s="510"/>
      <c r="D24" s="510">
        <v>29886</v>
      </c>
    </row>
    <row r="25" spans="1:4">
      <c r="A25" s="511"/>
      <c r="B25" s="447"/>
      <c r="C25" s="510"/>
      <c r="D25" s="510"/>
    </row>
    <row r="26" spans="1:4">
      <c r="A26" s="511" t="s">
        <v>809</v>
      </c>
      <c r="B26" s="447" t="s">
        <v>815</v>
      </c>
      <c r="C26" s="510"/>
      <c r="D26" s="510">
        <v>178</v>
      </c>
    </row>
    <row r="27" spans="1:4">
      <c r="A27" s="511" t="s">
        <v>810</v>
      </c>
      <c r="B27" s="447" t="s">
        <v>816</v>
      </c>
      <c r="C27" s="510">
        <v>4802</v>
      </c>
      <c r="D27" s="510"/>
    </row>
    <row r="28" spans="1:4">
      <c r="A28" s="511" t="s">
        <v>811</v>
      </c>
      <c r="B28" s="447" t="s">
        <v>54</v>
      </c>
      <c r="C28" s="510">
        <v>423</v>
      </c>
      <c r="D28" s="510"/>
    </row>
    <row r="29" spans="1:4">
      <c r="A29" s="511" t="s">
        <v>812</v>
      </c>
      <c r="B29" s="447" t="s">
        <v>817</v>
      </c>
      <c r="C29" s="510">
        <v>170354</v>
      </c>
      <c r="D29" s="510"/>
    </row>
    <row r="30" spans="1:4">
      <c r="A30" s="511" t="s">
        <v>813</v>
      </c>
      <c r="B30" s="447" t="s">
        <v>818</v>
      </c>
      <c r="C30" s="510"/>
      <c r="D30" s="510">
        <v>11062</v>
      </c>
    </row>
    <row r="31" spans="1:4">
      <c r="A31" s="511" t="s">
        <v>814</v>
      </c>
      <c r="B31" s="447" t="s">
        <v>819</v>
      </c>
      <c r="C31" s="510"/>
      <c r="D31" s="510">
        <v>34183</v>
      </c>
    </row>
    <row r="32" spans="1:4">
      <c r="A32" s="511"/>
      <c r="B32" s="447"/>
      <c r="C32" s="510"/>
      <c r="D32" s="510"/>
    </row>
    <row r="33" spans="1:4">
      <c r="A33" s="511" t="s">
        <v>820</v>
      </c>
      <c r="B33" s="447" t="s">
        <v>126</v>
      </c>
      <c r="C33" s="510"/>
      <c r="D33" s="510">
        <v>432962</v>
      </c>
    </row>
    <row r="34" spans="1:4">
      <c r="A34" s="511" t="s">
        <v>821</v>
      </c>
      <c r="B34" s="447" t="s">
        <v>55</v>
      </c>
      <c r="C34" s="510">
        <v>428579</v>
      </c>
      <c r="D34" s="510"/>
    </row>
    <row r="35" spans="1:4">
      <c r="A35" s="511" t="s">
        <v>822</v>
      </c>
      <c r="B35" s="447" t="s">
        <v>827</v>
      </c>
      <c r="C35" s="510">
        <v>169437</v>
      </c>
      <c r="D35" s="510"/>
    </row>
    <row r="36" spans="1:4">
      <c r="A36" s="511" t="s">
        <v>823</v>
      </c>
      <c r="B36" s="447" t="s">
        <v>828</v>
      </c>
      <c r="C36" s="510">
        <v>838</v>
      </c>
      <c r="D36" s="510"/>
    </row>
    <row r="37" spans="1:4">
      <c r="A37" s="511" t="s">
        <v>824</v>
      </c>
      <c r="B37" s="447" t="s">
        <v>829</v>
      </c>
      <c r="C37" s="510">
        <v>1611</v>
      </c>
      <c r="D37" s="510"/>
    </row>
    <row r="38" spans="1:4">
      <c r="A38" s="511" t="s">
        <v>825</v>
      </c>
      <c r="B38" s="447" t="s">
        <v>830</v>
      </c>
      <c r="C38" s="510"/>
      <c r="D38" s="510">
        <v>9954</v>
      </c>
    </row>
    <row r="39" spans="1:4">
      <c r="A39" s="511" t="s">
        <v>826</v>
      </c>
      <c r="B39" s="447" t="s">
        <v>815</v>
      </c>
      <c r="C39" s="510"/>
      <c r="D39" s="510">
        <v>11946</v>
      </c>
    </row>
    <row r="40" spans="1:4">
      <c r="A40" s="511" t="s">
        <v>645</v>
      </c>
      <c r="B40" s="447" t="s">
        <v>816</v>
      </c>
      <c r="C40" s="510"/>
      <c r="D40" s="510">
        <v>870</v>
      </c>
    </row>
    <row r="41" spans="1:4">
      <c r="A41" s="511"/>
      <c r="B41" s="447"/>
      <c r="C41" s="510" t="s">
        <v>70</v>
      </c>
      <c r="D41" s="510"/>
    </row>
    <row r="42" spans="1:4">
      <c r="A42" s="511" t="s">
        <v>107</v>
      </c>
      <c r="B42" s="447" t="s">
        <v>156</v>
      </c>
      <c r="C42" s="510"/>
      <c r="D42" s="510">
        <v>86354</v>
      </c>
    </row>
    <row r="43" spans="1:4">
      <c r="A43" s="511" t="s">
        <v>129</v>
      </c>
      <c r="B43" s="447" t="s">
        <v>157</v>
      </c>
      <c r="C43" s="510"/>
      <c r="D43" s="510">
        <v>20041</v>
      </c>
    </row>
    <row r="44" spans="1:4">
      <c r="A44" s="511" t="s">
        <v>158</v>
      </c>
      <c r="B44" s="447" t="s">
        <v>63</v>
      </c>
      <c r="C44" s="510">
        <v>174</v>
      </c>
      <c r="D44" s="510"/>
    </row>
    <row r="45" spans="1:4">
      <c r="A45" s="511" t="s">
        <v>159</v>
      </c>
      <c r="B45" s="447" t="s">
        <v>160</v>
      </c>
      <c r="C45" s="510">
        <v>30879</v>
      </c>
      <c r="D45" s="510"/>
    </row>
    <row r="46" spans="1:4">
      <c r="A46" s="511" t="s">
        <v>161</v>
      </c>
      <c r="B46" s="447" t="s">
        <v>65</v>
      </c>
      <c r="C46" s="510"/>
      <c r="D46" s="510">
        <v>818</v>
      </c>
    </row>
    <row r="47" spans="1:4">
      <c r="A47" s="511" t="s">
        <v>162</v>
      </c>
      <c r="B47" s="447" t="s">
        <v>105</v>
      </c>
      <c r="C47" s="510"/>
      <c r="D47" s="510">
        <v>39331</v>
      </c>
    </row>
    <row r="48" spans="1:4">
      <c r="A48" s="511" t="s">
        <v>131</v>
      </c>
      <c r="B48" s="447" t="s">
        <v>163</v>
      </c>
      <c r="C48" s="510">
        <v>156854</v>
      </c>
      <c r="D48" s="510"/>
    </row>
    <row r="49" spans="1:5">
      <c r="A49" s="511" t="s">
        <v>132</v>
      </c>
      <c r="B49" s="447" t="s">
        <v>66</v>
      </c>
      <c r="C49" s="510">
        <v>817</v>
      </c>
      <c r="D49" s="510"/>
    </row>
    <row r="50" spans="1:5">
      <c r="A50" s="511"/>
      <c r="B50" s="521"/>
      <c r="C50" s="510"/>
      <c r="D50" s="510"/>
    </row>
    <row r="51" spans="1:5">
      <c r="A51" s="513"/>
      <c r="B51" s="456" t="s">
        <v>1268</v>
      </c>
      <c r="C51" s="514">
        <f>SUM(C18:C49)</f>
        <v>966387</v>
      </c>
      <c r="D51" s="514">
        <f>SUM(D18:D49)</f>
        <v>743407</v>
      </c>
    </row>
    <row r="52" spans="1:5">
      <c r="A52" s="513"/>
      <c r="B52" s="513"/>
      <c r="C52" s="513"/>
      <c r="D52" s="513"/>
    </row>
    <row r="53" spans="1:5" ht="15.75" thickBot="1">
      <c r="A53" s="513"/>
      <c r="B53" s="456" t="s">
        <v>1269</v>
      </c>
      <c r="C53" s="457">
        <f>IF(C51-D51&lt;=0,0,C51-D51)</f>
        <v>222980</v>
      </c>
      <c r="D53" s="457">
        <f>IF(D51-C51&lt;=0,0,D51-C51)</f>
        <v>0</v>
      </c>
      <c r="E53" s="515"/>
    </row>
    <row r="54" spans="1:5" ht="15.75" thickTop="1"/>
    <row r="55" spans="1:5">
      <c r="C55" s="516"/>
    </row>
    <row r="57" spans="1:5">
      <c r="A57" s="513"/>
      <c r="B57" s="513"/>
      <c r="C57" s="513"/>
      <c r="D57" s="513"/>
    </row>
    <row r="58" spans="1:5">
      <c r="A58" s="459" t="s">
        <v>1270</v>
      </c>
      <c r="B58" s="444"/>
      <c r="C58" s="444"/>
      <c r="D58" s="444"/>
    </row>
    <row r="59" spans="1:5" ht="15" customHeight="1">
      <c r="A59" s="701" t="s">
        <v>1313</v>
      </c>
      <c r="B59" s="701"/>
      <c r="C59" s="701"/>
      <c r="D59" s="701"/>
    </row>
    <row r="60" spans="1:5" ht="15" customHeight="1">
      <c r="A60" s="701"/>
      <c r="B60" s="701"/>
      <c r="C60" s="701"/>
      <c r="D60" s="701"/>
    </row>
  </sheetData>
  <mergeCells count="2">
    <mergeCell ref="A2:D2"/>
    <mergeCell ref="A59:D60"/>
  </mergeCells>
  <dataValidations count="2">
    <dataValidation type="list" allowBlank="1" showInputMessage="1" showErrorMessage="1" sqref="A2:D2" xr:uid="{C684F70D-3F14-449E-AD68-97D689E65D21}">
      <formula1>"(CHOOSE ONE),INCOME STATEMENT PRO FORMA ADJUSTMENT, RATE BASE PRO FORMA ADJUSTMENT"</formula1>
    </dataValidation>
    <dataValidation type="list" allowBlank="1" showInputMessage="1" showErrorMessage="1" sqref="B8" xr:uid="{5B43AA75-1B73-4CE1-A923-B9B246977211}">
      <formula1>"(Choose one),Income Statement,Rate Base"</formula1>
    </dataValidation>
  </dataValidations>
  <pageMargins left="0.7" right="0.7" top="0.75" bottom="0.75" header="0.3" footer="0.3"/>
  <pageSetup scale="76" orientation="portrait" r:id="rId1"/>
  <headerFooter>
    <oddFooter>&amp;L&amp;F
&amp;A&amp;R&amp;P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0613-BF14-446B-8ED3-196EFF2C8108}">
  <sheetPr>
    <pageSetUpPr fitToPage="1"/>
  </sheetPr>
  <dimension ref="A1:S57"/>
  <sheetViews>
    <sheetView tabSelected="1" workbookViewId="0">
      <selection activeCell="Q37" sqref="Q37"/>
    </sheetView>
  </sheetViews>
  <sheetFormatPr defaultColWidth="9.140625" defaultRowHeight="15"/>
  <cols>
    <col min="1" max="1" width="48.42578125" customWidth="1"/>
    <col min="2" max="2" width="12.42578125" customWidth="1"/>
    <col min="3" max="3" width="11.85546875" customWidth="1"/>
    <col min="4" max="4" width="12.140625" customWidth="1"/>
    <col min="5" max="6" width="14.28515625" customWidth="1"/>
    <col min="7" max="7" width="4.28515625" style="325" customWidth="1"/>
    <col min="8" max="8" width="46.7109375" style="325" customWidth="1"/>
    <col min="9" max="9" width="9.5703125" style="325" bestFit="1" customWidth="1"/>
    <col min="10" max="10" width="10.140625" style="325" customWidth="1"/>
    <col min="11" max="11" width="10.28515625" style="325" bestFit="1" customWidth="1"/>
    <col min="12" max="12" width="9" style="325" bestFit="1" customWidth="1"/>
    <col min="13" max="13" width="13.5703125" style="325" bestFit="1" customWidth="1"/>
    <col min="14" max="14" width="7" style="325" customWidth="1"/>
    <col min="15" max="15" width="10.5703125" style="325" bestFit="1" customWidth="1"/>
    <col min="16" max="16" width="13.5703125" style="592" bestFit="1" customWidth="1"/>
    <col min="17" max="16384" width="9.140625" style="325"/>
  </cols>
  <sheetData>
    <row r="1" spans="1:15">
      <c r="A1" s="235" t="s">
        <v>1312</v>
      </c>
      <c r="C1" s="562" t="s">
        <v>1216</v>
      </c>
      <c r="H1" s="542" t="s">
        <v>1302</v>
      </c>
      <c r="J1" s="352" t="s">
        <v>1216</v>
      </c>
    </row>
    <row r="3" spans="1:15">
      <c r="C3" s="562" t="s">
        <v>1215</v>
      </c>
      <c r="J3" s="352" t="s">
        <v>1215</v>
      </c>
    </row>
    <row r="4" spans="1:15">
      <c r="C4" s="562" t="s">
        <v>1372</v>
      </c>
      <c r="J4" s="352" t="s">
        <v>1301</v>
      </c>
    </row>
    <row r="5" spans="1:15" ht="15.75" thickBot="1">
      <c r="A5" s="563"/>
      <c r="B5" s="563"/>
      <c r="C5" s="564" t="s">
        <v>1309</v>
      </c>
      <c r="D5" s="563"/>
      <c r="E5" s="563"/>
      <c r="F5" s="563"/>
      <c r="H5" s="350"/>
      <c r="I5" s="350"/>
      <c r="J5" s="351" t="s">
        <v>1300</v>
      </c>
      <c r="K5" s="350"/>
      <c r="L5" s="350"/>
      <c r="M5" s="350"/>
      <c r="N5" s="350"/>
      <c r="O5" s="350"/>
    </row>
    <row r="6" spans="1:15" ht="16.5" thickTop="1" thickBot="1"/>
    <row r="7" spans="1:15" ht="45.75" thickBot="1">
      <c r="A7" t="s">
        <v>235</v>
      </c>
      <c r="B7" s="565" t="s">
        <v>224</v>
      </c>
      <c r="C7" s="574" t="s">
        <v>223</v>
      </c>
      <c r="D7" s="585" t="s">
        <v>1214</v>
      </c>
      <c r="E7" s="579" t="s">
        <v>222</v>
      </c>
      <c r="F7" s="565" t="s">
        <v>1213</v>
      </c>
      <c r="H7" s="325" t="s">
        <v>235</v>
      </c>
      <c r="I7" s="349" t="s">
        <v>224</v>
      </c>
      <c r="J7" s="347" t="s">
        <v>223</v>
      </c>
      <c r="K7" s="540" t="s">
        <v>1214</v>
      </c>
      <c r="L7" s="348" t="s">
        <v>222</v>
      </c>
      <c r="M7" s="349" t="s">
        <v>1213</v>
      </c>
      <c r="N7" s="541"/>
      <c r="O7" s="599" t="s">
        <v>1373</v>
      </c>
    </row>
    <row r="8" spans="1:15">
      <c r="A8" s="566" t="s">
        <v>221</v>
      </c>
      <c r="B8" s="567">
        <v>0</v>
      </c>
      <c r="C8" s="575">
        <v>0</v>
      </c>
      <c r="D8" s="586">
        <v>0</v>
      </c>
      <c r="E8" s="580">
        <v>0</v>
      </c>
      <c r="F8" s="567">
        <v>0</v>
      </c>
      <c r="H8" s="327" t="s">
        <v>221</v>
      </c>
      <c r="I8" s="326">
        <v>0</v>
      </c>
      <c r="J8" s="329">
        <v>0</v>
      </c>
      <c r="K8" s="337">
        <v>0</v>
      </c>
      <c r="L8" s="330">
        <v>0</v>
      </c>
      <c r="M8" s="326">
        <v>0</v>
      </c>
      <c r="N8" s="529"/>
      <c r="O8" s="346"/>
    </row>
    <row r="9" spans="1:15">
      <c r="A9" s="568" t="s">
        <v>1212</v>
      </c>
      <c r="B9" s="569">
        <v>0</v>
      </c>
      <c r="C9" s="576">
        <v>6997.8</v>
      </c>
      <c r="D9" s="587">
        <v>6997.8</v>
      </c>
      <c r="E9" s="581">
        <v>-403.7</v>
      </c>
      <c r="F9" s="569">
        <v>6594.0999999999995</v>
      </c>
      <c r="H9" s="331" t="s">
        <v>1212</v>
      </c>
      <c r="I9" s="344">
        <v>0</v>
      </c>
      <c r="J9" s="341">
        <v>6997.8</v>
      </c>
      <c r="K9" s="343">
        <v>6997.8</v>
      </c>
      <c r="L9" s="342">
        <v>-1211.0999999999999</v>
      </c>
      <c r="M9" s="344">
        <v>5786.7</v>
      </c>
      <c r="N9" s="539"/>
      <c r="O9" s="332">
        <f>ROUND(F9+M9,0)</f>
        <v>12381</v>
      </c>
    </row>
    <row r="10" spans="1:15">
      <c r="A10" s="568" t="s">
        <v>1211</v>
      </c>
      <c r="B10" s="569">
        <v>0</v>
      </c>
      <c r="C10" s="576">
        <v>143002.80000000002</v>
      </c>
      <c r="D10" s="587">
        <v>143002.80000000002</v>
      </c>
      <c r="E10" s="581">
        <v>0</v>
      </c>
      <c r="F10" s="569">
        <v>143002.80000000002</v>
      </c>
      <c r="H10" s="331" t="s">
        <v>1211</v>
      </c>
      <c r="I10" s="344">
        <v>0</v>
      </c>
      <c r="J10" s="341">
        <v>145040.81</v>
      </c>
      <c r="K10" s="343">
        <v>145040.81</v>
      </c>
      <c r="L10" s="342">
        <v>0</v>
      </c>
      <c r="M10" s="344">
        <v>145040.81</v>
      </c>
      <c r="N10" s="539"/>
      <c r="O10" s="332">
        <f>ROUND(F10+M10,0)</f>
        <v>288044</v>
      </c>
    </row>
    <row r="11" spans="1:15">
      <c r="A11" s="570" t="s">
        <v>1210</v>
      </c>
      <c r="B11" s="571">
        <v>0</v>
      </c>
      <c r="C11" s="577">
        <v>150000.6</v>
      </c>
      <c r="D11" s="588">
        <v>150000.6</v>
      </c>
      <c r="E11" s="582">
        <v>-403.7</v>
      </c>
      <c r="F11" s="571">
        <v>149596.9</v>
      </c>
      <c r="H11" s="336" t="s">
        <v>1210</v>
      </c>
      <c r="I11" s="335">
        <v>0</v>
      </c>
      <c r="J11" s="333">
        <v>152038.61000000002</v>
      </c>
      <c r="K11" s="340">
        <v>152038.61000000002</v>
      </c>
      <c r="L11" s="334">
        <v>-1211.0999999999999</v>
      </c>
      <c r="M11" s="335">
        <v>150827.51</v>
      </c>
      <c r="N11" s="533"/>
      <c r="O11" s="332"/>
    </row>
    <row r="12" spans="1:15">
      <c r="A12" s="568" t="s">
        <v>70</v>
      </c>
      <c r="B12" s="567">
        <v>0</v>
      </c>
      <c r="C12" s="575">
        <v>0</v>
      </c>
      <c r="D12" s="586">
        <v>0</v>
      </c>
      <c r="E12" s="580">
        <v>0</v>
      </c>
      <c r="F12" s="567">
        <v>0</v>
      </c>
      <c r="H12" s="331" t="s">
        <v>70</v>
      </c>
      <c r="I12" s="326">
        <v>0</v>
      </c>
      <c r="J12" s="329">
        <v>0</v>
      </c>
      <c r="K12" s="337">
        <v>0</v>
      </c>
      <c r="L12" s="330">
        <v>0</v>
      </c>
      <c r="M12" s="326">
        <v>0</v>
      </c>
      <c r="N12" s="529"/>
      <c r="O12" s="332"/>
    </row>
    <row r="13" spans="1:15">
      <c r="A13" s="566" t="s">
        <v>67</v>
      </c>
      <c r="B13" s="567">
        <v>0</v>
      </c>
      <c r="C13" s="575">
        <v>0</v>
      </c>
      <c r="D13" s="586">
        <v>0</v>
      </c>
      <c r="E13" s="580">
        <v>0</v>
      </c>
      <c r="F13" s="567">
        <v>0</v>
      </c>
      <c r="H13" s="327" t="s">
        <v>67</v>
      </c>
      <c r="I13" s="326">
        <v>0</v>
      </c>
      <c r="J13" s="329">
        <v>0</v>
      </c>
      <c r="K13" s="337">
        <v>0</v>
      </c>
      <c r="L13" s="330">
        <v>0</v>
      </c>
      <c r="M13" s="326">
        <v>0</v>
      </c>
      <c r="N13" s="529"/>
      <c r="O13" s="332"/>
    </row>
    <row r="14" spans="1:15">
      <c r="A14" s="568" t="s">
        <v>1209</v>
      </c>
      <c r="B14" s="569">
        <v>613.94000000000005</v>
      </c>
      <c r="C14" s="576">
        <v>0</v>
      </c>
      <c r="D14" s="587">
        <v>613.94000000000005</v>
      </c>
      <c r="E14" s="581">
        <v>-79.58</v>
      </c>
      <c r="F14" s="569">
        <v>534.36</v>
      </c>
      <c r="H14" s="331" t="s">
        <v>1209</v>
      </c>
      <c r="I14" s="344">
        <v>713.09999999999991</v>
      </c>
      <c r="J14" s="341">
        <v>0</v>
      </c>
      <c r="K14" s="343">
        <v>713.09999999999991</v>
      </c>
      <c r="L14" s="342">
        <v>-238.73999999999998</v>
      </c>
      <c r="M14" s="344">
        <v>474.35999999999996</v>
      </c>
      <c r="N14" s="539"/>
      <c r="O14" s="332">
        <f t="shared" ref="O14:O45" si="0">ROUND(F14+M14,0)</f>
        <v>1009</v>
      </c>
    </row>
    <row r="15" spans="1:15">
      <c r="A15" s="568" t="s">
        <v>1208</v>
      </c>
      <c r="B15" s="569">
        <v>145.62</v>
      </c>
      <c r="C15" s="576">
        <v>0</v>
      </c>
      <c r="D15" s="587">
        <v>145.62</v>
      </c>
      <c r="E15" s="581">
        <v>-13.26</v>
      </c>
      <c r="F15" s="569">
        <v>132.35999999999999</v>
      </c>
      <c r="H15" s="331" t="s">
        <v>1208</v>
      </c>
      <c r="I15" s="344">
        <v>164.33999999999997</v>
      </c>
      <c r="J15" s="341">
        <v>0</v>
      </c>
      <c r="K15" s="343">
        <v>164.33999999999997</v>
      </c>
      <c r="L15" s="342">
        <v>-39.78</v>
      </c>
      <c r="M15" s="344">
        <v>124.55999999999999</v>
      </c>
      <c r="N15" s="539"/>
      <c r="O15" s="332">
        <f t="shared" si="0"/>
        <v>257</v>
      </c>
    </row>
    <row r="16" spans="1:15">
      <c r="A16" s="568" t="s">
        <v>1207</v>
      </c>
      <c r="B16" s="569">
        <v>148277.70000000001</v>
      </c>
      <c r="C16" s="576">
        <v>0</v>
      </c>
      <c r="D16" s="587">
        <v>148277.70000000001</v>
      </c>
      <c r="E16" s="581">
        <v>-8338.36</v>
      </c>
      <c r="F16" s="569">
        <v>139939.34</v>
      </c>
      <c r="H16" s="331" t="s">
        <v>1207</v>
      </c>
      <c r="I16" s="344">
        <v>169724.34000000003</v>
      </c>
      <c r="J16" s="341">
        <v>0</v>
      </c>
      <c r="K16" s="343">
        <v>169724.34000000003</v>
      </c>
      <c r="L16" s="342">
        <v>-25015.079999999998</v>
      </c>
      <c r="M16" s="344">
        <v>144709.26</v>
      </c>
      <c r="N16" s="539"/>
      <c r="O16" s="332">
        <f t="shared" si="0"/>
        <v>284649</v>
      </c>
    </row>
    <row r="17" spans="1:16">
      <c r="A17" s="568" t="s">
        <v>1206</v>
      </c>
      <c r="B17" s="569">
        <v>22666.82</v>
      </c>
      <c r="C17" s="576">
        <v>0</v>
      </c>
      <c r="D17" s="587">
        <v>22666.82</v>
      </c>
      <c r="E17" s="581">
        <v>-2315.8399999999997</v>
      </c>
      <c r="F17" s="569">
        <v>20350.98</v>
      </c>
      <c r="H17" s="331" t="s">
        <v>1206</v>
      </c>
      <c r="I17" s="344">
        <v>26819.58</v>
      </c>
      <c r="J17" s="341">
        <v>0</v>
      </c>
      <c r="K17" s="343">
        <v>26819.58</v>
      </c>
      <c r="L17" s="342">
        <v>-6947.5199999999995</v>
      </c>
      <c r="M17" s="344">
        <v>19872.060000000001</v>
      </c>
      <c r="N17" s="539"/>
      <c r="O17" s="332">
        <f t="shared" si="0"/>
        <v>40223</v>
      </c>
    </row>
    <row r="18" spans="1:16">
      <c r="A18" s="568" t="s">
        <v>1205</v>
      </c>
      <c r="B18" s="569">
        <v>-1162.6799999999998</v>
      </c>
      <c r="C18" s="576">
        <v>0</v>
      </c>
      <c r="D18" s="587">
        <v>-1162.6799999999998</v>
      </c>
      <c r="E18" s="581">
        <v>-215.45999999999998</v>
      </c>
      <c r="F18" s="569">
        <v>-1378.1399999999999</v>
      </c>
      <c r="H18" s="331" t="s">
        <v>1205</v>
      </c>
      <c r="I18" s="344">
        <v>2202.96</v>
      </c>
      <c r="J18" s="341">
        <v>0</v>
      </c>
      <c r="K18" s="343">
        <v>2202.96</v>
      </c>
      <c r="L18" s="342">
        <v>-646.38</v>
      </c>
      <c r="M18" s="344">
        <v>1556.58</v>
      </c>
      <c r="N18" s="539"/>
      <c r="O18" s="332">
        <f t="shared" si="0"/>
        <v>178</v>
      </c>
    </row>
    <row r="19" spans="1:16">
      <c r="A19" s="570" t="s">
        <v>1204</v>
      </c>
      <c r="B19" s="571">
        <v>170541.40000000002</v>
      </c>
      <c r="C19" s="577">
        <v>0</v>
      </c>
      <c r="D19" s="588">
        <v>170541.40000000002</v>
      </c>
      <c r="E19" s="582">
        <v>-10962.5</v>
      </c>
      <c r="F19" s="571">
        <v>159578.90000000002</v>
      </c>
      <c r="H19" s="336" t="s">
        <v>1204</v>
      </c>
      <c r="I19" s="335">
        <v>199624.32000000004</v>
      </c>
      <c r="J19" s="333">
        <v>0</v>
      </c>
      <c r="K19" s="340">
        <v>199624.32000000004</v>
      </c>
      <c r="L19" s="334">
        <v>-32887.5</v>
      </c>
      <c r="M19" s="335">
        <v>166736.82</v>
      </c>
      <c r="N19" s="533"/>
      <c r="O19" s="332"/>
    </row>
    <row r="20" spans="1:16">
      <c r="A20" s="568" t="s">
        <v>70</v>
      </c>
      <c r="B20" s="567">
        <v>0</v>
      </c>
      <c r="C20" s="575">
        <v>0</v>
      </c>
      <c r="D20" s="586">
        <v>0</v>
      </c>
      <c r="E20" s="580">
        <v>0</v>
      </c>
      <c r="F20" s="567">
        <v>0</v>
      </c>
      <c r="H20" s="331" t="s">
        <v>70</v>
      </c>
      <c r="I20" s="326">
        <v>0</v>
      </c>
      <c r="J20" s="329">
        <v>0</v>
      </c>
      <c r="K20" s="337">
        <v>0</v>
      </c>
      <c r="L20" s="330">
        <v>0</v>
      </c>
      <c r="M20" s="326">
        <v>0</v>
      </c>
      <c r="N20" s="529"/>
      <c r="O20" s="332"/>
    </row>
    <row r="21" spans="1:16">
      <c r="A21" s="566" t="s">
        <v>68</v>
      </c>
      <c r="B21" s="567">
        <v>0</v>
      </c>
      <c r="C21" s="575">
        <v>0</v>
      </c>
      <c r="D21" s="586">
        <v>0</v>
      </c>
      <c r="E21" s="580">
        <v>0</v>
      </c>
      <c r="F21" s="567">
        <v>0</v>
      </c>
      <c r="H21" s="327" t="s">
        <v>68</v>
      </c>
      <c r="I21" s="326">
        <v>0</v>
      </c>
      <c r="J21" s="329">
        <v>0</v>
      </c>
      <c r="K21" s="337">
        <v>0</v>
      </c>
      <c r="L21" s="330">
        <v>0</v>
      </c>
      <c r="M21" s="326">
        <v>0</v>
      </c>
      <c r="N21" s="529"/>
      <c r="O21" s="332"/>
    </row>
    <row r="22" spans="1:16">
      <c r="A22" s="568" t="s">
        <v>1203</v>
      </c>
      <c r="B22" s="569">
        <v>2833.7699999999995</v>
      </c>
      <c r="C22" s="576">
        <v>0</v>
      </c>
      <c r="D22" s="587">
        <v>2833.7699999999995</v>
      </c>
      <c r="E22" s="581">
        <v>-116.47999999999999</v>
      </c>
      <c r="F22" s="569">
        <v>2717.2899999999995</v>
      </c>
      <c r="H22" s="331" t="s">
        <v>1203</v>
      </c>
      <c r="I22" s="344">
        <v>1875.4899999999998</v>
      </c>
      <c r="J22" s="341">
        <v>0</v>
      </c>
      <c r="K22" s="343">
        <v>1875.4899999999998</v>
      </c>
      <c r="L22" s="342">
        <v>-349.44</v>
      </c>
      <c r="M22" s="344">
        <v>1526.05</v>
      </c>
      <c r="N22" s="539"/>
      <c r="O22" s="332">
        <f t="shared" si="0"/>
        <v>4243</v>
      </c>
    </row>
    <row r="23" spans="1:16">
      <c r="A23" s="568" t="s">
        <v>1202</v>
      </c>
      <c r="B23" s="569">
        <v>2106.12</v>
      </c>
      <c r="C23" s="576">
        <v>0</v>
      </c>
      <c r="D23" s="587">
        <v>2106.12</v>
      </c>
      <c r="E23" s="581">
        <v>-1.76</v>
      </c>
      <c r="F23" s="569">
        <v>2104.3599999999997</v>
      </c>
      <c r="H23" s="331" t="s">
        <v>1202</v>
      </c>
      <c r="I23" s="344">
        <v>1814.04</v>
      </c>
      <c r="J23" s="341">
        <v>0</v>
      </c>
      <c r="K23" s="343">
        <v>1814.04</v>
      </c>
      <c r="L23" s="342">
        <v>-5.28</v>
      </c>
      <c r="M23" s="344">
        <v>1808.7599999999998</v>
      </c>
      <c r="N23" s="539"/>
      <c r="O23" s="332">
        <f t="shared" si="0"/>
        <v>3913</v>
      </c>
    </row>
    <row r="24" spans="1:16">
      <c r="A24" s="568" t="s">
        <v>1201</v>
      </c>
      <c r="B24" s="569">
        <v>2744039.03</v>
      </c>
      <c r="C24" s="576">
        <v>0</v>
      </c>
      <c r="D24" s="587">
        <v>2744039.03</v>
      </c>
      <c r="E24" s="581">
        <v>-79040.600000000006</v>
      </c>
      <c r="F24" s="569">
        <v>2664998.4300000002</v>
      </c>
      <c r="H24" s="331" t="s">
        <v>1201</v>
      </c>
      <c r="I24" s="344">
        <v>2680191.7399999998</v>
      </c>
      <c r="J24" s="341">
        <v>0</v>
      </c>
      <c r="K24" s="343">
        <v>2680191.7399999998</v>
      </c>
      <c r="L24" s="342">
        <v>-237121.80000000002</v>
      </c>
      <c r="M24" s="344">
        <v>2443069.94</v>
      </c>
      <c r="N24" s="539"/>
      <c r="O24" s="332">
        <f t="shared" si="0"/>
        <v>5108068</v>
      </c>
    </row>
    <row r="25" spans="1:16">
      <c r="A25" s="568" t="s">
        <v>1200</v>
      </c>
      <c r="B25" s="569">
        <v>75324.680000000008</v>
      </c>
      <c r="C25" s="576">
        <v>0</v>
      </c>
      <c r="D25" s="587">
        <v>75324.680000000008</v>
      </c>
      <c r="E25" s="581">
        <v>-865.45999999999992</v>
      </c>
      <c r="F25" s="569">
        <v>74459.22</v>
      </c>
      <c r="H25" s="331" t="s">
        <v>1200</v>
      </c>
      <c r="I25" s="344">
        <v>83778.38</v>
      </c>
      <c r="J25" s="341">
        <v>0</v>
      </c>
      <c r="K25" s="343">
        <v>83778.38</v>
      </c>
      <c r="L25" s="342">
        <v>-2596.38</v>
      </c>
      <c r="M25" s="344">
        <v>81182</v>
      </c>
      <c r="N25" s="539"/>
      <c r="O25" s="332">
        <f t="shared" si="0"/>
        <v>155641</v>
      </c>
    </row>
    <row r="26" spans="1:16">
      <c r="A26" s="568" t="s">
        <v>1199</v>
      </c>
      <c r="B26" s="569">
        <v>64189.25</v>
      </c>
      <c r="C26" s="576">
        <v>0</v>
      </c>
      <c r="D26" s="587">
        <v>64189.25</v>
      </c>
      <c r="E26" s="581">
        <v>-1066.76</v>
      </c>
      <c r="F26" s="569">
        <v>63122.490000000005</v>
      </c>
      <c r="H26" s="331" t="s">
        <v>1199</v>
      </c>
      <c r="I26" s="344">
        <v>69741.95</v>
      </c>
      <c r="J26" s="341">
        <v>0</v>
      </c>
      <c r="K26" s="343">
        <v>69741.95</v>
      </c>
      <c r="L26" s="342">
        <v>-3200.2799999999997</v>
      </c>
      <c r="M26" s="344">
        <v>66541.67</v>
      </c>
      <c r="N26" s="539"/>
      <c r="O26" s="332">
        <f t="shared" si="0"/>
        <v>129664</v>
      </c>
    </row>
    <row r="27" spans="1:16">
      <c r="A27" s="568" t="s">
        <v>1198</v>
      </c>
      <c r="B27" s="569">
        <v>2400957.63</v>
      </c>
      <c r="C27" s="576">
        <v>0</v>
      </c>
      <c r="D27" s="587">
        <v>2400957.63</v>
      </c>
      <c r="E27" s="581">
        <v>-35467.620000000003</v>
      </c>
      <c r="F27" s="569">
        <v>2365490.0100000002</v>
      </c>
      <c r="H27" s="331" t="s">
        <v>1198</v>
      </c>
      <c r="I27" s="344">
        <v>2691183.37</v>
      </c>
      <c r="J27" s="341">
        <v>0</v>
      </c>
      <c r="K27" s="343">
        <v>2691183.37</v>
      </c>
      <c r="L27" s="342">
        <v>-106402.86000000002</v>
      </c>
      <c r="M27" s="344">
        <v>2584780.5099999998</v>
      </c>
      <c r="N27" s="539"/>
      <c r="O27" s="332">
        <f t="shared" si="0"/>
        <v>4950271</v>
      </c>
    </row>
    <row r="28" spans="1:16">
      <c r="A28" s="568" t="s">
        <v>1197</v>
      </c>
      <c r="B28" s="569">
        <v>693457.53</v>
      </c>
      <c r="C28" s="576">
        <v>0</v>
      </c>
      <c r="D28" s="587">
        <v>693457.53</v>
      </c>
      <c r="E28" s="581">
        <v>-6840.5</v>
      </c>
      <c r="F28" s="569">
        <v>686617.03000000014</v>
      </c>
      <c r="H28" s="331" t="s">
        <v>1197</v>
      </c>
      <c r="I28" s="344">
        <v>509338.81000000006</v>
      </c>
      <c r="J28" s="341">
        <v>0</v>
      </c>
      <c r="K28" s="343">
        <v>509338.81000000006</v>
      </c>
      <c r="L28" s="342">
        <v>-20521.5</v>
      </c>
      <c r="M28" s="344">
        <v>488817.31000000006</v>
      </c>
      <c r="N28" s="539"/>
      <c r="O28" s="332">
        <f t="shared" si="0"/>
        <v>1175434</v>
      </c>
    </row>
    <row r="29" spans="1:16">
      <c r="A29" s="568" t="s">
        <v>1196</v>
      </c>
      <c r="B29" s="569">
        <v>249885.49000000002</v>
      </c>
      <c r="C29" s="576">
        <v>0</v>
      </c>
      <c r="D29" s="587">
        <v>249885.49000000002</v>
      </c>
      <c r="E29" s="581">
        <v>-6500.1399999999994</v>
      </c>
      <c r="F29" s="569">
        <v>243385.35000000003</v>
      </c>
      <c r="H29" s="331" t="s">
        <v>1196</v>
      </c>
      <c r="I29" s="344">
        <v>184125.48</v>
      </c>
      <c r="J29" s="341">
        <v>0</v>
      </c>
      <c r="K29" s="343">
        <v>184125.48</v>
      </c>
      <c r="L29" s="342">
        <v>-19500.420000000002</v>
      </c>
      <c r="M29" s="344">
        <v>164625.06000000003</v>
      </c>
      <c r="N29" s="539"/>
      <c r="O29" s="596">
        <f>ROUND(F29+M29,0)+1</f>
        <v>408011</v>
      </c>
      <c r="P29" s="597" t="s">
        <v>1310</v>
      </c>
    </row>
    <row r="30" spans="1:16">
      <c r="A30" s="568" t="s">
        <v>1195</v>
      </c>
      <c r="B30" s="569">
        <v>63177.640000000007</v>
      </c>
      <c r="C30" s="576">
        <v>0</v>
      </c>
      <c r="D30" s="587">
        <v>63177.640000000007</v>
      </c>
      <c r="E30" s="581">
        <v>-2183.52</v>
      </c>
      <c r="F30" s="569">
        <v>60994.12</v>
      </c>
      <c r="H30" s="331" t="s">
        <v>1195</v>
      </c>
      <c r="I30" s="344">
        <v>68349.84</v>
      </c>
      <c r="J30" s="341">
        <v>0</v>
      </c>
      <c r="K30" s="343">
        <v>68349.84</v>
      </c>
      <c r="L30" s="342">
        <v>-6550.5599999999995</v>
      </c>
      <c r="M30" s="344">
        <v>61799.28</v>
      </c>
      <c r="N30" s="539"/>
      <c r="O30" s="332">
        <f t="shared" si="0"/>
        <v>122793</v>
      </c>
    </row>
    <row r="31" spans="1:16">
      <c r="A31" s="568" t="s">
        <v>1194</v>
      </c>
      <c r="B31" s="569">
        <v>61060.17</v>
      </c>
      <c r="C31" s="576">
        <v>0</v>
      </c>
      <c r="D31" s="587">
        <v>61060.17</v>
      </c>
      <c r="E31" s="581">
        <v>-842.71999999999991</v>
      </c>
      <c r="F31" s="569">
        <v>60217.45</v>
      </c>
      <c r="H31" s="331" t="s">
        <v>1194</v>
      </c>
      <c r="I31" s="344">
        <v>63183.58</v>
      </c>
      <c r="J31" s="341">
        <v>0</v>
      </c>
      <c r="K31" s="343">
        <v>63183.58</v>
      </c>
      <c r="L31" s="342">
        <v>-2528.16</v>
      </c>
      <c r="M31" s="344">
        <v>60655.42</v>
      </c>
      <c r="N31" s="539"/>
      <c r="O31" s="332">
        <f t="shared" si="0"/>
        <v>120873</v>
      </c>
    </row>
    <row r="32" spans="1:16">
      <c r="A32" s="568" t="s">
        <v>1193</v>
      </c>
      <c r="B32" s="569">
        <v>31264.559999999998</v>
      </c>
      <c r="C32" s="576">
        <v>0</v>
      </c>
      <c r="D32" s="587">
        <v>31264.559999999998</v>
      </c>
      <c r="E32" s="581">
        <v>124.16000000000001</v>
      </c>
      <c r="F32" s="569">
        <v>31388.720000000001</v>
      </c>
      <c r="H32" s="331" t="s">
        <v>1193</v>
      </c>
      <c r="I32" s="344">
        <v>36728.020000000004</v>
      </c>
      <c r="J32" s="341">
        <v>0</v>
      </c>
      <c r="K32" s="343">
        <v>36728.020000000004</v>
      </c>
      <c r="L32" s="342">
        <v>372.48</v>
      </c>
      <c r="M32" s="344">
        <v>37100.5</v>
      </c>
      <c r="N32" s="539"/>
      <c r="O32" s="332">
        <f t="shared" si="0"/>
        <v>68489</v>
      </c>
    </row>
    <row r="33" spans="1:16">
      <c r="A33" s="568" t="s">
        <v>1192</v>
      </c>
      <c r="B33" s="569">
        <v>24631.82</v>
      </c>
      <c r="C33" s="576">
        <v>0</v>
      </c>
      <c r="D33" s="587">
        <v>24631.82</v>
      </c>
      <c r="E33" s="581">
        <v>-614.33999999999992</v>
      </c>
      <c r="F33" s="569">
        <v>24017.48</v>
      </c>
      <c r="H33" s="331" t="s">
        <v>1192</v>
      </c>
      <c r="I33" s="344">
        <v>32436.660000000003</v>
      </c>
      <c r="J33" s="341">
        <v>0</v>
      </c>
      <c r="K33" s="343">
        <v>32436.660000000003</v>
      </c>
      <c r="L33" s="342">
        <v>-1843.0199999999998</v>
      </c>
      <c r="M33" s="344">
        <v>30593.64</v>
      </c>
      <c r="N33" s="539"/>
      <c r="O33" s="332">
        <f t="shared" si="0"/>
        <v>54611</v>
      </c>
    </row>
    <row r="34" spans="1:16">
      <c r="A34" s="570" t="s">
        <v>1191</v>
      </c>
      <c r="B34" s="571">
        <v>6412927.6899999995</v>
      </c>
      <c r="C34" s="577">
        <v>0</v>
      </c>
      <c r="D34" s="588">
        <v>6412927.6899999995</v>
      </c>
      <c r="E34" s="582">
        <v>-133415.74000000002</v>
      </c>
      <c r="F34" s="571">
        <v>6279511.9499999993</v>
      </c>
      <c r="H34" s="336" t="s">
        <v>1191</v>
      </c>
      <c r="I34" s="335">
        <v>6422747.3600000003</v>
      </c>
      <c r="J34" s="333">
        <v>0</v>
      </c>
      <c r="K34" s="340">
        <v>6422747.3600000003</v>
      </c>
      <c r="L34" s="334">
        <v>-400247.22000000003</v>
      </c>
      <c r="M34" s="335">
        <v>6022500.1399999997</v>
      </c>
      <c r="N34" s="533"/>
      <c r="O34" s="332"/>
    </row>
    <row r="35" spans="1:16">
      <c r="A35" s="568" t="s">
        <v>70</v>
      </c>
      <c r="B35" s="567">
        <v>0</v>
      </c>
      <c r="C35" s="575">
        <v>0</v>
      </c>
      <c r="D35" s="586">
        <v>0</v>
      </c>
      <c r="E35" s="580">
        <v>0</v>
      </c>
      <c r="F35" s="567">
        <v>0</v>
      </c>
      <c r="H35" s="331" t="s">
        <v>70</v>
      </c>
      <c r="I35" s="326">
        <v>0</v>
      </c>
      <c r="J35" s="329">
        <v>0</v>
      </c>
      <c r="K35" s="337">
        <v>0</v>
      </c>
      <c r="L35" s="330">
        <v>0</v>
      </c>
      <c r="M35" s="326">
        <v>0</v>
      </c>
      <c r="N35" s="529"/>
      <c r="O35" s="332"/>
    </row>
    <row r="36" spans="1:16">
      <c r="A36" s="566" t="s">
        <v>188</v>
      </c>
      <c r="B36" s="567">
        <v>0</v>
      </c>
      <c r="C36" s="575">
        <v>0</v>
      </c>
      <c r="D36" s="586">
        <v>0</v>
      </c>
      <c r="E36" s="580">
        <v>0</v>
      </c>
      <c r="F36" s="567">
        <v>0</v>
      </c>
      <c r="H36" s="327" t="s">
        <v>188</v>
      </c>
      <c r="I36" s="326">
        <v>0</v>
      </c>
      <c r="J36" s="329">
        <v>0</v>
      </c>
      <c r="K36" s="337">
        <v>0</v>
      </c>
      <c r="L36" s="330">
        <v>0</v>
      </c>
      <c r="M36" s="326">
        <v>0</v>
      </c>
      <c r="N36" s="529"/>
      <c r="O36" s="332"/>
    </row>
    <row r="37" spans="1:16">
      <c r="A37" s="568" t="s">
        <v>1190</v>
      </c>
      <c r="B37" s="569">
        <v>0</v>
      </c>
      <c r="C37" s="576">
        <v>0</v>
      </c>
      <c r="D37" s="587">
        <v>0</v>
      </c>
      <c r="E37" s="581">
        <v>217.56</v>
      </c>
      <c r="F37" s="569">
        <v>217.56</v>
      </c>
      <c r="H37" s="331" t="s">
        <v>1190</v>
      </c>
      <c r="I37" s="344">
        <v>0</v>
      </c>
      <c r="J37" s="341">
        <v>0</v>
      </c>
      <c r="K37" s="343">
        <v>0</v>
      </c>
      <c r="L37" s="342">
        <v>652.67999999999995</v>
      </c>
      <c r="M37" s="344">
        <v>652.67999999999995</v>
      </c>
      <c r="N37" s="539"/>
      <c r="O37" s="332">
        <f>ROUND(F37+M37,0)</f>
        <v>870</v>
      </c>
    </row>
    <row r="38" spans="1:16">
      <c r="A38" s="568" t="s">
        <v>1189</v>
      </c>
      <c r="B38" s="569">
        <v>373617.22000000003</v>
      </c>
      <c r="C38" s="576">
        <v>0</v>
      </c>
      <c r="D38" s="587">
        <v>373617.22000000003</v>
      </c>
      <c r="E38" s="581">
        <v>-608.02</v>
      </c>
      <c r="F38" s="569">
        <v>373009.20000000007</v>
      </c>
      <c r="H38" s="331" t="s">
        <v>1189</v>
      </c>
      <c r="I38" s="344">
        <v>418190.52</v>
      </c>
      <c r="J38" s="341">
        <v>0</v>
      </c>
      <c r="K38" s="343">
        <v>418190.52</v>
      </c>
      <c r="L38" s="342">
        <v>-1824.0599999999997</v>
      </c>
      <c r="M38" s="344">
        <v>416366.46</v>
      </c>
      <c r="N38" s="539"/>
      <c r="O38" s="332">
        <f t="shared" si="0"/>
        <v>789376</v>
      </c>
    </row>
    <row r="39" spans="1:16">
      <c r="A39" s="568" t="s">
        <v>1188</v>
      </c>
      <c r="B39" s="569">
        <v>375300.63</v>
      </c>
      <c r="C39" s="576">
        <v>0</v>
      </c>
      <c r="D39" s="587">
        <v>375300.63</v>
      </c>
      <c r="E39" s="581">
        <v>0</v>
      </c>
      <c r="F39" s="569">
        <v>375300.63</v>
      </c>
      <c r="H39" s="331" t="s">
        <v>1188</v>
      </c>
      <c r="I39" s="344">
        <v>369218.23000000004</v>
      </c>
      <c r="J39" s="341">
        <v>0</v>
      </c>
      <c r="K39" s="343">
        <v>369218.23000000004</v>
      </c>
      <c r="L39" s="342">
        <v>0</v>
      </c>
      <c r="M39" s="344">
        <v>369218.23000000004</v>
      </c>
      <c r="N39" s="539"/>
      <c r="O39" s="332">
        <f t="shared" si="0"/>
        <v>744519</v>
      </c>
    </row>
    <row r="40" spans="1:16">
      <c r="A40" s="568" t="s">
        <v>1187</v>
      </c>
      <c r="B40" s="569">
        <v>4543.1999999999989</v>
      </c>
      <c r="C40" s="576">
        <v>0</v>
      </c>
      <c r="D40" s="587">
        <v>4543.1999999999989</v>
      </c>
      <c r="E40" s="581">
        <v>-64.040000000000006</v>
      </c>
      <c r="F40" s="569">
        <v>4479.16</v>
      </c>
      <c r="H40" s="331" t="s">
        <v>1187</v>
      </c>
      <c r="I40" s="344">
        <v>4561.5999999999995</v>
      </c>
      <c r="J40" s="341">
        <v>0</v>
      </c>
      <c r="K40" s="343">
        <v>4561.5999999999995</v>
      </c>
      <c r="L40" s="342">
        <v>-192.12</v>
      </c>
      <c r="M40" s="344">
        <v>4369.4799999999996</v>
      </c>
      <c r="N40" s="539"/>
      <c r="O40" s="332">
        <f t="shared" si="0"/>
        <v>8849</v>
      </c>
    </row>
    <row r="41" spans="1:16">
      <c r="A41" s="568" t="s">
        <v>1186</v>
      </c>
      <c r="B41" s="569">
        <v>161708.01</v>
      </c>
      <c r="C41" s="576">
        <v>0</v>
      </c>
      <c r="D41" s="587">
        <v>161708.01</v>
      </c>
      <c r="E41" s="581">
        <v>-528.62</v>
      </c>
      <c r="F41" s="569">
        <v>161179.39000000001</v>
      </c>
      <c r="H41" s="331" t="s">
        <v>1186</v>
      </c>
      <c r="I41" s="344">
        <v>143685.88</v>
      </c>
      <c r="J41" s="341">
        <v>0</v>
      </c>
      <c r="K41" s="343">
        <v>143685.88</v>
      </c>
      <c r="L41" s="342">
        <v>-1585.86</v>
      </c>
      <c r="M41" s="344">
        <v>142100.02000000002</v>
      </c>
      <c r="N41" s="539"/>
      <c r="O41" s="332">
        <f t="shared" si="0"/>
        <v>303279</v>
      </c>
    </row>
    <row r="42" spans="1:16">
      <c r="A42" s="568" t="s">
        <v>1185</v>
      </c>
      <c r="B42" s="569">
        <v>1840.9799999999998</v>
      </c>
      <c r="C42" s="576">
        <v>0</v>
      </c>
      <c r="D42" s="587">
        <v>1840.9799999999998</v>
      </c>
      <c r="E42" s="581">
        <v>0</v>
      </c>
      <c r="F42" s="569">
        <v>1840.9799999999998</v>
      </c>
      <c r="H42" s="331" t="s">
        <v>1185</v>
      </c>
      <c r="I42" s="344">
        <v>1840.9799999999998</v>
      </c>
      <c r="J42" s="341">
        <v>0</v>
      </c>
      <c r="K42" s="343">
        <v>1840.9799999999998</v>
      </c>
      <c r="L42" s="342">
        <v>0</v>
      </c>
      <c r="M42" s="344">
        <v>1840.9799999999998</v>
      </c>
      <c r="N42" s="539"/>
      <c r="O42" s="332">
        <f t="shared" si="0"/>
        <v>3682</v>
      </c>
    </row>
    <row r="43" spans="1:16">
      <c r="A43" s="568" t="s">
        <v>1184</v>
      </c>
      <c r="B43" s="569">
        <v>56550.15</v>
      </c>
      <c r="C43" s="576">
        <v>0</v>
      </c>
      <c r="D43" s="587">
        <v>56550.15</v>
      </c>
      <c r="E43" s="581">
        <v>0</v>
      </c>
      <c r="F43" s="569">
        <v>56550.15</v>
      </c>
      <c r="H43" s="331" t="s">
        <v>1184</v>
      </c>
      <c r="I43" s="344">
        <v>76410.91</v>
      </c>
      <c r="J43" s="341">
        <v>0</v>
      </c>
      <c r="K43" s="343">
        <v>76410.91</v>
      </c>
      <c r="L43" s="342">
        <v>0</v>
      </c>
      <c r="M43" s="344">
        <v>76410.91</v>
      </c>
      <c r="N43" s="539"/>
      <c r="O43" s="332">
        <f t="shared" si="0"/>
        <v>132961</v>
      </c>
    </row>
    <row r="44" spans="1:16">
      <c r="A44" s="568" t="s">
        <v>1183</v>
      </c>
      <c r="B44" s="569">
        <v>144374.62000000002</v>
      </c>
      <c r="C44" s="576">
        <v>0</v>
      </c>
      <c r="D44" s="587">
        <v>144374.62000000002</v>
      </c>
      <c r="E44" s="581">
        <v>0</v>
      </c>
      <c r="F44" s="569">
        <v>144374.62000000002</v>
      </c>
      <c r="H44" s="331" t="s">
        <v>1183</v>
      </c>
      <c r="I44" s="344">
        <v>142675.09000000003</v>
      </c>
      <c r="J44" s="341">
        <v>0</v>
      </c>
      <c r="K44" s="343">
        <v>142675.09000000003</v>
      </c>
      <c r="L44" s="342">
        <v>0</v>
      </c>
      <c r="M44" s="344">
        <v>142675.09000000003</v>
      </c>
      <c r="N44" s="539"/>
      <c r="O44" s="332">
        <f t="shared" si="0"/>
        <v>287050</v>
      </c>
    </row>
    <row r="45" spans="1:16">
      <c r="A45" s="568" t="s">
        <v>1182</v>
      </c>
      <c r="B45" s="569">
        <v>3364.4399999999996</v>
      </c>
      <c r="C45" s="576">
        <v>0</v>
      </c>
      <c r="D45" s="587">
        <v>3364.4399999999996</v>
      </c>
      <c r="E45" s="581">
        <v>-444.47999999999996</v>
      </c>
      <c r="F45" s="569">
        <v>2919.9599999999996</v>
      </c>
      <c r="H45" s="331" t="s">
        <v>1182</v>
      </c>
      <c r="I45" s="344">
        <v>3336.72</v>
      </c>
      <c r="J45" s="341">
        <v>0</v>
      </c>
      <c r="K45" s="343">
        <v>3336.72</v>
      </c>
      <c r="L45" s="342">
        <v>-1333.4399999999998</v>
      </c>
      <c r="M45" s="344">
        <v>2003.2799999999997</v>
      </c>
      <c r="N45" s="539"/>
      <c r="O45" s="332">
        <f t="shared" si="0"/>
        <v>4923</v>
      </c>
    </row>
    <row r="46" spans="1:16">
      <c r="A46" s="570" t="s">
        <v>1181</v>
      </c>
      <c r="B46" s="571">
        <v>1121299.25</v>
      </c>
      <c r="C46" s="577">
        <v>0</v>
      </c>
      <c r="D46" s="588">
        <v>1121299.25</v>
      </c>
      <c r="E46" s="582">
        <v>-1427.6</v>
      </c>
      <c r="F46" s="571">
        <v>1119871.6499999999</v>
      </c>
      <c r="H46" s="336" t="s">
        <v>1181</v>
      </c>
      <c r="I46" s="335">
        <v>1159919.93</v>
      </c>
      <c r="J46" s="333">
        <v>0</v>
      </c>
      <c r="K46" s="340">
        <v>1159919.93</v>
      </c>
      <c r="L46" s="334">
        <v>-4282.7999999999993</v>
      </c>
      <c r="M46" s="335">
        <v>1155637.1300000001</v>
      </c>
      <c r="N46" s="533"/>
      <c r="O46" s="332"/>
    </row>
    <row r="47" spans="1:16">
      <c r="A47" s="568" t="s">
        <v>70</v>
      </c>
      <c r="B47" s="567">
        <v>0</v>
      </c>
      <c r="C47" s="575">
        <v>0</v>
      </c>
      <c r="D47" s="586">
        <v>0</v>
      </c>
      <c r="E47" s="580">
        <v>0</v>
      </c>
      <c r="F47" s="567">
        <v>0</v>
      </c>
      <c r="H47" s="331" t="s">
        <v>70</v>
      </c>
      <c r="I47" s="326">
        <v>0</v>
      </c>
      <c r="J47" s="329">
        <v>0</v>
      </c>
      <c r="K47" s="337">
        <v>0</v>
      </c>
      <c r="L47" s="330">
        <v>0</v>
      </c>
      <c r="M47" s="326">
        <v>0</v>
      </c>
      <c r="N47" s="529"/>
      <c r="O47" s="332"/>
    </row>
    <row r="48" spans="1:16">
      <c r="A48" s="572" t="s">
        <v>434</v>
      </c>
      <c r="B48" s="573">
        <v>1770664.98</v>
      </c>
      <c r="C48" s="578">
        <v>0</v>
      </c>
      <c r="D48" s="589">
        <v>1770664.98</v>
      </c>
      <c r="E48" s="583">
        <v>0</v>
      </c>
      <c r="F48" s="573">
        <v>1770664.98</v>
      </c>
      <c r="H48" s="339" t="s">
        <v>434</v>
      </c>
      <c r="I48" s="538">
        <v>1572331.23</v>
      </c>
      <c r="J48" s="535">
        <v>0</v>
      </c>
      <c r="K48" s="537">
        <v>1572331.23</v>
      </c>
      <c r="L48" s="536">
        <v>0</v>
      </c>
      <c r="M48" s="538">
        <v>1572331.23</v>
      </c>
      <c r="N48" s="533"/>
      <c r="O48" s="534">
        <f>ROUND(F48+M48,0)</f>
        <v>3342996</v>
      </c>
      <c r="P48" s="593" t="s">
        <v>788</v>
      </c>
    </row>
    <row r="49" spans="1:19">
      <c r="A49" s="568" t="s">
        <v>70</v>
      </c>
      <c r="B49" s="567">
        <v>0</v>
      </c>
      <c r="C49" s="575">
        <v>0</v>
      </c>
      <c r="D49" s="586">
        <v>0</v>
      </c>
      <c r="E49" s="580">
        <v>0</v>
      </c>
      <c r="F49" s="567">
        <v>0</v>
      </c>
      <c r="H49" s="331" t="s">
        <v>70</v>
      </c>
      <c r="I49" s="326">
        <v>0</v>
      </c>
      <c r="J49" s="329">
        <v>0</v>
      </c>
      <c r="K49" s="337">
        <v>0</v>
      </c>
      <c r="L49" s="330">
        <v>0</v>
      </c>
      <c r="M49" s="326">
        <v>0</v>
      </c>
      <c r="N49" s="529"/>
      <c r="O49" s="332"/>
    </row>
    <row r="50" spans="1:19">
      <c r="A50" s="570" t="s">
        <v>40</v>
      </c>
      <c r="B50" s="571">
        <v>9475433.3200000003</v>
      </c>
      <c r="C50" s="577">
        <v>150000.6</v>
      </c>
      <c r="D50" s="590">
        <v>9625433.9199999999</v>
      </c>
      <c r="E50" s="598">
        <v>-146209.54</v>
      </c>
      <c r="F50" s="571">
        <v>9479224.3800000008</v>
      </c>
      <c r="H50" s="336" t="s">
        <v>40</v>
      </c>
      <c r="I50" s="335">
        <v>9354622.8399999999</v>
      </c>
      <c r="J50" s="333">
        <v>152038.61000000002</v>
      </c>
      <c r="K50" s="338">
        <v>9506661.4500000011</v>
      </c>
      <c r="L50" s="358">
        <v>-438628.62</v>
      </c>
      <c r="M50" s="335">
        <v>9068032.8300000001</v>
      </c>
      <c r="N50" s="602" t="s">
        <v>41</v>
      </c>
      <c r="O50" s="532">
        <f>SUM(O9:O45)</f>
        <v>15204261</v>
      </c>
      <c r="P50" s="594">
        <f>L50+E50</f>
        <v>-584838.16</v>
      </c>
    </row>
    <row r="51" spans="1:19">
      <c r="A51" s="568" t="s">
        <v>70</v>
      </c>
      <c r="B51" s="567">
        <v>0</v>
      </c>
      <c r="C51" s="575">
        <v>0</v>
      </c>
      <c r="D51" s="586">
        <v>0</v>
      </c>
      <c r="E51" s="580">
        <v>0</v>
      </c>
      <c r="F51" s="567">
        <v>0</v>
      </c>
      <c r="H51" s="331" t="s">
        <v>70</v>
      </c>
      <c r="I51" s="326">
        <v>0</v>
      </c>
      <c r="J51" s="329">
        <v>0</v>
      </c>
      <c r="K51" s="337">
        <v>0</v>
      </c>
      <c r="L51" s="330">
        <v>0</v>
      </c>
      <c r="M51" s="326">
        <v>0</v>
      </c>
      <c r="N51" s="529"/>
      <c r="O51" s="346"/>
    </row>
    <row r="52" spans="1:19" ht="15.75" thickBot="1">
      <c r="A52" s="566" t="s">
        <v>1180</v>
      </c>
      <c r="B52" s="567">
        <v>0</v>
      </c>
      <c r="C52" s="575">
        <v>0</v>
      </c>
      <c r="D52" s="345">
        <f>D46+D34+D19+D11</f>
        <v>7854768.9399999995</v>
      </c>
      <c r="E52" s="580">
        <v>0</v>
      </c>
      <c r="F52" s="567">
        <v>0</v>
      </c>
      <c r="H52" s="327" t="s">
        <v>1180</v>
      </c>
      <c r="I52" s="326">
        <v>0</v>
      </c>
      <c r="J52" s="329">
        <v>0</v>
      </c>
      <c r="K52" s="345">
        <f>K46+K34+K19+K11</f>
        <v>7934330.2200000007</v>
      </c>
      <c r="M52" s="326">
        <v>0</v>
      </c>
      <c r="N52" s="529"/>
      <c r="O52" s="531">
        <f>K52+D52</f>
        <v>15789099.16</v>
      </c>
    </row>
    <row r="53" spans="1:19" ht="15.75" thickBot="1">
      <c r="A53" s="566" t="s">
        <v>1179</v>
      </c>
      <c r="B53" s="567">
        <v>0</v>
      </c>
      <c r="C53" s="575">
        <v>0</v>
      </c>
      <c r="D53" s="591">
        <v>0</v>
      </c>
      <c r="E53" s="580">
        <v>0</v>
      </c>
      <c r="F53" s="567">
        <v>0</v>
      </c>
      <c r="H53" s="327" t="s">
        <v>1179</v>
      </c>
      <c r="I53" s="326">
        <v>0</v>
      </c>
      <c r="J53" s="329">
        <v>0</v>
      </c>
      <c r="K53" s="530">
        <v>0</v>
      </c>
      <c r="L53" s="330">
        <v>0</v>
      </c>
      <c r="M53" s="326">
        <v>0</v>
      </c>
      <c r="N53" s="529"/>
    </row>
    <row r="54" spans="1:19">
      <c r="A54" s="566" t="s">
        <v>1178</v>
      </c>
      <c r="B54" s="567">
        <v>0</v>
      </c>
      <c r="C54" s="567">
        <v>0</v>
      </c>
      <c r="D54" s="584">
        <v>0</v>
      </c>
      <c r="E54" s="567">
        <v>0</v>
      </c>
      <c r="F54" s="567">
        <v>0</v>
      </c>
      <c r="H54" s="327" t="s">
        <v>1178</v>
      </c>
      <c r="I54" s="326">
        <v>0</v>
      </c>
      <c r="J54" s="326">
        <v>0</v>
      </c>
      <c r="K54" s="328">
        <v>0</v>
      </c>
      <c r="L54" s="326">
        <v>0</v>
      </c>
      <c r="M54" s="326">
        <v>0</v>
      </c>
      <c r="N54" s="529" t="s">
        <v>41</v>
      </c>
      <c r="O54" s="528">
        <f>O52+P50</f>
        <v>15204261</v>
      </c>
      <c r="P54" s="595" t="s">
        <v>1299</v>
      </c>
    </row>
    <row r="56" spans="1:19">
      <c r="P56" s="592">
        <f>P46+P34+P19+P11</f>
        <v>0</v>
      </c>
    </row>
    <row r="57" spans="1:19">
      <c r="S57" s="592"/>
    </row>
  </sheetData>
  <pageMargins left="0.7" right="0.7" top="0.75" bottom="0.75" header="0.3" footer="0.3"/>
  <pageSetup scale="4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A2D32-B525-478C-9187-976CC91BD912}">
  <sheetPr>
    <tabColor indexed="53"/>
    <pageSetUpPr fitToPage="1"/>
  </sheetPr>
  <dimension ref="A1:AI69"/>
  <sheetViews>
    <sheetView showGridLines="0" showZeros="0" topLeftCell="A34" zoomScale="70" zoomScaleNormal="70" zoomScalePageLayoutView="70" workbookViewId="0">
      <selection activeCell="AG36" sqref="AG36"/>
    </sheetView>
  </sheetViews>
  <sheetFormatPr defaultColWidth="11.28515625" defaultRowHeight="15"/>
  <cols>
    <col min="1" max="2" width="9.85546875" style="193" customWidth="1"/>
    <col min="3" max="3" width="44.7109375" style="193" customWidth="1"/>
    <col min="4" max="4" width="1" style="193" customWidth="1"/>
    <col min="5" max="5" width="13.5703125" style="193" customWidth="1"/>
    <col min="6" max="6" width="1" style="193" customWidth="1"/>
    <col min="7" max="7" width="14.42578125" style="193" customWidth="1"/>
    <col min="8" max="8" width="1" style="193" customWidth="1"/>
    <col min="9" max="9" width="9.140625" style="193" bestFit="1" customWidth="1"/>
    <col min="10" max="10" width="1" style="193" customWidth="1"/>
    <col min="11" max="11" width="13" style="193" bestFit="1" customWidth="1"/>
    <col min="12" max="12" width="1" style="193" customWidth="1"/>
    <col min="13" max="13" width="13.5703125" style="193" bestFit="1" customWidth="1"/>
    <col min="14" max="14" width="1" style="193" customWidth="1"/>
    <col min="15" max="15" width="9.7109375" style="193" bestFit="1" customWidth="1"/>
    <col min="16" max="16" width="1" style="193" customWidth="1"/>
    <col min="17" max="17" width="13.140625" style="193" customWidth="1"/>
    <col min="18" max="18" width="16" style="193" bestFit="1" customWidth="1"/>
    <col min="19" max="19" width="13" style="193" bestFit="1" customWidth="1"/>
    <col min="20" max="20" width="1" style="193" customWidth="1"/>
    <col min="21" max="21" width="13.5703125" style="193" bestFit="1" customWidth="1"/>
    <col min="22" max="22" width="1" style="193" customWidth="1"/>
    <col min="23" max="23" width="9.7109375" style="193" bestFit="1" customWidth="1"/>
    <col min="24" max="24" width="13.140625" style="193" customWidth="1"/>
    <col min="25" max="29" width="11.28515625" style="193"/>
    <col min="30" max="30" width="11.28515625" style="193" customWidth="1"/>
    <col min="31" max="31" width="12.5703125" style="193" customWidth="1"/>
    <col min="32" max="16384" width="11.28515625" style="193"/>
  </cols>
  <sheetData>
    <row r="1" spans="1:31" ht="18">
      <c r="A1" s="215" t="s">
        <v>1154</v>
      </c>
      <c r="B1" s="215"/>
      <c r="M1" s="724" t="s">
        <v>422</v>
      </c>
      <c r="N1" s="724"/>
      <c r="O1" s="724"/>
      <c r="U1" s="193" t="s">
        <v>422</v>
      </c>
    </row>
    <row r="2" spans="1:31" ht="15" customHeight="1">
      <c r="A2" s="193" t="s">
        <v>1155</v>
      </c>
      <c r="O2" s="193" t="s">
        <v>235</v>
      </c>
      <c r="W2" s="193" t="s">
        <v>235</v>
      </c>
    </row>
    <row r="3" spans="1:31" ht="15" customHeight="1">
      <c r="A3" s="164" t="s">
        <v>1156</v>
      </c>
      <c r="B3" s="164"/>
    </row>
    <row r="4" spans="1:31" ht="15" customHeight="1">
      <c r="A4" s="164" t="s">
        <v>1157</v>
      </c>
      <c r="B4" s="164"/>
      <c r="I4" s="214"/>
      <c r="M4" s="214"/>
      <c r="U4" s="214"/>
      <c r="AD4" s="214"/>
      <c r="AE4" s="214"/>
    </row>
    <row r="5" spans="1:31" ht="15" customHeight="1">
      <c r="A5" s="232" t="s">
        <v>794</v>
      </c>
      <c r="C5" s="231" t="s">
        <v>1158</v>
      </c>
      <c r="E5" s="213"/>
      <c r="F5" s="213"/>
      <c r="G5" s="213"/>
      <c r="H5" s="213"/>
      <c r="I5" s="213"/>
      <c r="K5" s="213"/>
      <c r="L5" s="213"/>
      <c r="M5" s="213"/>
      <c r="N5" s="213"/>
      <c r="O5" s="213"/>
      <c r="S5" s="216"/>
      <c r="T5" s="216"/>
      <c r="U5" s="216"/>
      <c r="AD5" s="216"/>
      <c r="AE5" s="216"/>
    </row>
    <row r="6" spans="1:31" ht="18" customHeight="1">
      <c r="V6" s="216"/>
      <c r="W6" s="216"/>
      <c r="AD6" s="264" t="s">
        <v>806</v>
      </c>
      <c r="AE6" s="264"/>
    </row>
    <row r="7" spans="1:31" ht="18" customHeight="1">
      <c r="A7" s="212"/>
      <c r="B7" s="211"/>
      <c r="C7" s="211"/>
      <c r="D7" s="211"/>
      <c r="E7" s="722" t="s">
        <v>1159</v>
      </c>
      <c r="F7" s="722"/>
      <c r="G7" s="722"/>
      <c r="H7" s="722"/>
      <c r="I7" s="722"/>
      <c r="J7" s="211"/>
      <c r="K7" s="727" t="s">
        <v>1160</v>
      </c>
      <c r="L7" s="727"/>
      <c r="M7" s="727"/>
      <c r="N7" s="727"/>
      <c r="O7" s="727"/>
      <c r="P7" s="211"/>
      <c r="Q7" s="725" t="s">
        <v>786</v>
      </c>
      <c r="R7" s="726"/>
      <c r="S7" s="210"/>
      <c r="T7" s="218"/>
      <c r="U7" s="217" t="s">
        <v>1160</v>
      </c>
      <c r="V7" s="218"/>
      <c r="W7" s="220"/>
      <c r="AD7" s="217"/>
      <c r="AE7" s="217"/>
    </row>
    <row r="8" spans="1:31" ht="30">
      <c r="A8" s="209" t="s">
        <v>38</v>
      </c>
      <c r="B8" s="208"/>
      <c r="C8" s="208"/>
      <c r="D8" s="207"/>
      <c r="E8" s="206" t="s">
        <v>787</v>
      </c>
      <c r="F8" s="207"/>
      <c r="G8" s="206" t="s">
        <v>39</v>
      </c>
      <c r="H8" s="207"/>
      <c r="I8" s="206" t="s">
        <v>40</v>
      </c>
      <c r="J8" s="207"/>
      <c r="K8" s="206" t="s">
        <v>787</v>
      </c>
      <c r="L8" s="207"/>
      <c r="M8" s="206" t="s">
        <v>39</v>
      </c>
      <c r="N8" s="207"/>
      <c r="O8" s="206" t="s">
        <v>40</v>
      </c>
      <c r="P8" s="207"/>
      <c r="Q8" s="222" t="s">
        <v>51</v>
      </c>
      <c r="R8" s="223" t="s">
        <v>412</v>
      </c>
      <c r="S8" s="206" t="s">
        <v>787</v>
      </c>
      <c r="T8" s="207"/>
      <c r="U8" s="206" t="s">
        <v>39</v>
      </c>
      <c r="V8" s="207"/>
      <c r="W8" s="221" t="s">
        <v>40</v>
      </c>
      <c r="AD8" s="263" t="s">
        <v>803</v>
      </c>
      <c r="AE8" s="263" t="s">
        <v>804</v>
      </c>
    </row>
    <row r="9" spans="1:31" s="203" customFormat="1" ht="11.25">
      <c r="A9" s="205" t="s">
        <v>41</v>
      </c>
      <c r="B9" s="205"/>
      <c r="C9" s="205"/>
      <c r="E9" s="204" t="s">
        <v>42</v>
      </c>
      <c r="G9" s="204" t="s">
        <v>43</v>
      </c>
      <c r="I9" s="204" t="s">
        <v>44</v>
      </c>
      <c r="K9" s="204" t="s">
        <v>45</v>
      </c>
      <c r="M9" s="204" t="s">
        <v>46</v>
      </c>
      <c r="O9" s="204" t="s">
        <v>47</v>
      </c>
      <c r="S9" s="204" t="s">
        <v>45</v>
      </c>
      <c r="U9" s="204" t="s">
        <v>46</v>
      </c>
      <c r="W9" s="204" t="s">
        <v>47</v>
      </c>
      <c r="AD9" s="204"/>
      <c r="AE9" s="204"/>
    </row>
    <row r="10" spans="1:31" ht="5.25" customHeight="1"/>
    <row r="11" spans="1:31" ht="5.25" customHeight="1"/>
    <row r="12" spans="1:31" ht="15" customHeight="1">
      <c r="A12" s="197" t="s">
        <v>785</v>
      </c>
      <c r="B12" s="197"/>
    </row>
    <row r="13" spans="1:31" ht="15" customHeight="1">
      <c r="A13" s="195">
        <v>365.2</v>
      </c>
      <c r="B13" s="193" t="str">
        <f t="shared" ref="B13:B21" si="0">MID($A13,1,3)</f>
        <v>365</v>
      </c>
      <c r="C13" s="193" t="s">
        <v>151</v>
      </c>
      <c r="E13" s="194">
        <v>1.3899999999999999E-2</v>
      </c>
      <c r="G13" s="194">
        <v>0</v>
      </c>
      <c r="H13" s="195"/>
      <c r="I13" s="194">
        <v>1.3899999999999999E-2</v>
      </c>
      <c r="J13" s="196"/>
      <c r="K13" s="194">
        <v>1.0999999999999999E-2</v>
      </c>
      <c r="M13" s="194"/>
      <c r="N13" s="195"/>
      <c r="O13" s="194">
        <v>1.0999999999999999E-2</v>
      </c>
      <c r="Q13" s="201" t="s">
        <v>73</v>
      </c>
      <c r="R13" s="193" t="str">
        <f t="shared" ref="R13:R44" si="1">CONCATENATE(B13,Q13)</f>
        <v>36500000</v>
      </c>
      <c r="S13" s="194">
        <v>1.0999999999999999E-2</v>
      </c>
      <c r="U13" s="194"/>
      <c r="V13" s="195"/>
      <c r="W13" s="194">
        <v>1.0999999999999999E-2</v>
      </c>
      <c r="AD13" s="260">
        <v>1.3899999999999999E-2</v>
      </c>
      <c r="AE13" s="260">
        <f>W13-AD13</f>
        <v>-2.8999999999999998E-3</v>
      </c>
    </row>
    <row r="14" spans="1:31" ht="15" customHeight="1">
      <c r="A14" s="308">
        <v>365.2</v>
      </c>
      <c r="B14" s="306" t="str">
        <f t="shared" si="0"/>
        <v>365</v>
      </c>
      <c r="C14" s="306" t="s">
        <v>151</v>
      </c>
      <c r="D14" s="306"/>
      <c r="E14" s="307"/>
      <c r="F14" s="306"/>
      <c r="G14" s="307"/>
      <c r="H14" s="308"/>
      <c r="I14" s="307"/>
      <c r="J14" s="309"/>
      <c r="K14" s="307"/>
      <c r="L14" s="306"/>
      <c r="M14" s="307"/>
      <c r="N14" s="308"/>
      <c r="O14" s="307"/>
      <c r="P14" s="306"/>
      <c r="Q14" s="305" t="s">
        <v>1177</v>
      </c>
      <c r="R14" s="306" t="str">
        <f t="shared" si="1"/>
        <v>365GRFTH</v>
      </c>
      <c r="S14" s="307">
        <v>1.0999999999999999E-2</v>
      </c>
      <c r="T14" s="306"/>
      <c r="U14" s="307"/>
      <c r="V14" s="308"/>
      <c r="W14" s="307">
        <v>1.0999999999999999E-2</v>
      </c>
      <c r="X14" s="306" t="s">
        <v>786</v>
      </c>
      <c r="AD14" s="260">
        <v>1.3899999999999999E-2</v>
      </c>
      <c r="AE14" s="260">
        <f>W14-AD14</f>
        <v>-2.8999999999999998E-3</v>
      </c>
    </row>
    <row r="15" spans="1:31" ht="15" customHeight="1">
      <c r="A15" s="195">
        <v>366</v>
      </c>
      <c r="B15" s="193" t="str">
        <f t="shared" si="0"/>
        <v>366</v>
      </c>
      <c r="C15" s="193" t="s">
        <v>54</v>
      </c>
      <c r="E15" s="194">
        <v>1.52E-2</v>
      </c>
      <c r="G15" s="194">
        <v>0</v>
      </c>
      <c r="H15" s="195"/>
      <c r="I15" s="194">
        <v>1.52E-2</v>
      </c>
      <c r="K15" s="194">
        <v>1.26E-2</v>
      </c>
      <c r="M15" s="194"/>
      <c r="N15" s="195"/>
      <c r="O15" s="194">
        <v>1.26E-2</v>
      </c>
      <c r="Q15" s="201" t="s">
        <v>73</v>
      </c>
      <c r="R15" s="193" t="str">
        <f t="shared" si="1"/>
        <v>36600000</v>
      </c>
      <c r="S15" s="194">
        <v>1.26E-2</v>
      </c>
      <c r="U15" s="194"/>
      <c r="V15" s="195"/>
      <c r="W15" s="194">
        <v>1.26E-2</v>
      </c>
      <c r="AD15" s="260">
        <v>1.52E-2</v>
      </c>
      <c r="AE15" s="260">
        <f t="shared" ref="AE15:AE22" si="2">W15-AD15</f>
        <v>-2.5999999999999999E-3</v>
      </c>
    </row>
    <row r="16" spans="1:31" ht="15" customHeight="1">
      <c r="A16" s="195">
        <v>367</v>
      </c>
      <c r="B16" s="193" t="str">
        <f t="shared" si="0"/>
        <v>367</v>
      </c>
      <c r="C16" s="193" t="s">
        <v>817</v>
      </c>
      <c r="E16" s="194">
        <v>1.4E-2</v>
      </c>
      <c r="G16" s="194">
        <v>1.2999999999999999E-3</v>
      </c>
      <c r="H16" s="195"/>
      <c r="I16" s="194">
        <v>1.5300000000000001E-2</v>
      </c>
      <c r="K16" s="194">
        <v>1.12E-2</v>
      </c>
      <c r="M16" s="194">
        <v>1.1999999999999999E-3</v>
      </c>
      <c r="N16" s="195"/>
      <c r="O16" s="194">
        <v>1.24E-2</v>
      </c>
      <c r="Q16" s="201" t="s">
        <v>73</v>
      </c>
      <c r="R16" s="193" t="str">
        <f t="shared" si="1"/>
        <v>36700000</v>
      </c>
      <c r="S16" s="194">
        <v>1.12E-2</v>
      </c>
      <c r="U16" s="194">
        <v>1.1999999999999999E-3</v>
      </c>
      <c r="V16" s="195"/>
      <c r="W16" s="194">
        <v>1.24E-2</v>
      </c>
      <c r="AD16" s="260">
        <v>1.5300000000000001E-2</v>
      </c>
      <c r="AE16" s="260">
        <f t="shared" si="2"/>
        <v>-2.9000000000000015E-3</v>
      </c>
    </row>
    <row r="17" spans="1:31" ht="15" customHeight="1">
      <c r="A17" s="308">
        <v>367</v>
      </c>
      <c r="B17" s="306" t="str">
        <f t="shared" si="0"/>
        <v>367</v>
      </c>
      <c r="C17" s="306" t="s">
        <v>817</v>
      </c>
      <c r="D17" s="306"/>
      <c r="E17" s="307"/>
      <c r="F17" s="306"/>
      <c r="G17" s="307"/>
      <c r="H17" s="308"/>
      <c r="I17" s="307"/>
      <c r="J17" s="306"/>
      <c r="K17" s="307"/>
      <c r="L17" s="306"/>
      <c r="M17" s="307"/>
      <c r="N17" s="308"/>
      <c r="O17" s="307"/>
      <c r="P17" s="306"/>
      <c r="Q17" s="305" t="s">
        <v>1177</v>
      </c>
      <c r="R17" s="306" t="str">
        <f>CONCATENATE(B17,Q17)</f>
        <v>367GRFTH</v>
      </c>
      <c r="S17" s="307">
        <v>1.12E-2</v>
      </c>
      <c r="T17" s="306"/>
      <c r="U17" s="307">
        <v>1.1999999999999999E-3</v>
      </c>
      <c r="V17" s="308"/>
      <c r="W17" s="307">
        <v>1.24E-2</v>
      </c>
      <c r="X17" s="306" t="s">
        <v>786</v>
      </c>
      <c r="AD17" s="260">
        <v>1.5300000000000001E-2</v>
      </c>
      <c r="AE17" s="260">
        <f>W17-AD17</f>
        <v>-2.9000000000000015E-3</v>
      </c>
    </row>
    <row r="18" spans="1:31" ht="15" customHeight="1">
      <c r="A18" s="195">
        <v>369</v>
      </c>
      <c r="B18" s="193" t="str">
        <f t="shared" si="0"/>
        <v>369</v>
      </c>
      <c r="C18" s="193" t="s">
        <v>1161</v>
      </c>
      <c r="E18" s="194">
        <v>1.47E-2</v>
      </c>
      <c r="G18" s="194">
        <v>8.0000000000000004E-4</v>
      </c>
      <c r="H18" s="195"/>
      <c r="I18" s="194">
        <v>1.55E-2</v>
      </c>
      <c r="K18" s="194">
        <v>1.12E-2</v>
      </c>
      <c r="M18" s="194">
        <v>6.9999999999999999E-4</v>
      </c>
      <c r="N18" s="195"/>
      <c r="O18" s="194">
        <v>1.1899999999999999E-2</v>
      </c>
      <c r="Q18" s="201" t="s">
        <v>73</v>
      </c>
      <c r="R18" s="193" t="str">
        <f t="shared" si="1"/>
        <v>36900000</v>
      </c>
      <c r="S18" s="194">
        <v>1.12E-2</v>
      </c>
      <c r="U18" s="194">
        <v>6.9999999999999999E-4</v>
      </c>
      <c r="V18" s="195"/>
      <c r="W18" s="194">
        <v>1.1899999999999999E-2</v>
      </c>
      <c r="AD18" s="260">
        <v>1.55E-2</v>
      </c>
      <c r="AE18" s="260">
        <f t="shared" si="2"/>
        <v>-3.6000000000000008E-3</v>
      </c>
    </row>
    <row r="19" spans="1:31" ht="15" customHeight="1">
      <c r="A19" s="308">
        <v>369</v>
      </c>
      <c r="B19" s="306" t="str">
        <f t="shared" si="0"/>
        <v>369</v>
      </c>
      <c r="C19" s="306" t="s">
        <v>1161</v>
      </c>
      <c r="D19" s="306"/>
      <c r="E19" s="307"/>
      <c r="F19" s="306"/>
      <c r="G19" s="307"/>
      <c r="H19" s="308"/>
      <c r="I19" s="307"/>
      <c r="J19" s="306"/>
      <c r="K19" s="307"/>
      <c r="L19" s="306"/>
      <c r="M19" s="307"/>
      <c r="N19" s="308"/>
      <c r="O19" s="307"/>
      <c r="P19" s="306"/>
      <c r="Q19" s="305" t="s">
        <v>1177</v>
      </c>
      <c r="R19" s="306" t="str">
        <f t="shared" si="1"/>
        <v>369GRFTH</v>
      </c>
      <c r="S19" s="307">
        <v>1.12E-2</v>
      </c>
      <c r="T19" s="306"/>
      <c r="U19" s="307">
        <v>6.9999999999999999E-4</v>
      </c>
      <c r="V19" s="308"/>
      <c r="W19" s="307">
        <v>1.1899999999999999E-2</v>
      </c>
      <c r="X19" s="306" t="s">
        <v>786</v>
      </c>
      <c r="AD19" s="260">
        <v>1.55E-2</v>
      </c>
      <c r="AE19" s="260">
        <f>W19-AD19</f>
        <v>-3.6000000000000008E-3</v>
      </c>
    </row>
    <row r="20" spans="1:31" ht="15" customHeight="1">
      <c r="A20" s="195">
        <v>371</v>
      </c>
      <c r="B20" s="193" t="str">
        <f t="shared" si="0"/>
        <v>371</v>
      </c>
      <c r="C20" s="193" t="s">
        <v>815</v>
      </c>
      <c r="E20" s="194">
        <v>2.4E-2</v>
      </c>
      <c r="G20" s="194"/>
      <c r="H20" s="195"/>
      <c r="I20" s="194">
        <v>2.4E-2</v>
      </c>
      <c r="K20" s="194">
        <v>-3.1E-2</v>
      </c>
      <c r="M20" s="194"/>
      <c r="N20" s="195"/>
      <c r="O20" s="194">
        <v>-3.1E-2</v>
      </c>
      <c r="Q20" s="201" t="s">
        <v>73</v>
      </c>
      <c r="R20" s="193" t="str">
        <f>CONCATENATE(B20,Q20)</f>
        <v>37100000</v>
      </c>
      <c r="S20" s="194">
        <v>-3.1E-2</v>
      </c>
      <c r="U20" s="194"/>
      <c r="V20" s="195"/>
      <c r="W20" s="194">
        <v>-3.1E-2</v>
      </c>
      <c r="AD20" s="260">
        <v>2.4E-2</v>
      </c>
      <c r="AE20" s="260">
        <f>W20-AD20</f>
        <v>-5.5E-2</v>
      </c>
    </row>
    <row r="21" spans="1:31" ht="15" customHeight="1">
      <c r="A21" s="308">
        <v>371</v>
      </c>
      <c r="B21" s="306" t="str">
        <f t="shared" si="0"/>
        <v>371</v>
      </c>
      <c r="C21" s="306" t="s">
        <v>815</v>
      </c>
      <c r="D21" s="306"/>
      <c r="E21" s="310"/>
      <c r="F21" s="311"/>
      <c r="G21" s="310"/>
      <c r="H21" s="312"/>
      <c r="I21" s="310"/>
      <c r="J21" s="311"/>
      <c r="K21" s="310"/>
      <c r="L21" s="311"/>
      <c r="M21" s="310"/>
      <c r="N21" s="312"/>
      <c r="O21" s="310"/>
      <c r="P21" s="311"/>
      <c r="Q21" s="313" t="s">
        <v>1177</v>
      </c>
      <c r="R21" s="311" t="str">
        <f>CONCATENATE(B21,Q21)</f>
        <v>371GRFTH</v>
      </c>
      <c r="S21" s="310">
        <v>-3.1E-2</v>
      </c>
      <c r="T21" s="311"/>
      <c r="U21" s="310"/>
      <c r="V21" s="312"/>
      <c r="W21" s="310">
        <v>-3.1E-2</v>
      </c>
      <c r="X21" s="311" t="s">
        <v>786</v>
      </c>
      <c r="AD21" s="260">
        <v>2.4E-2</v>
      </c>
      <c r="AE21" s="260">
        <f>W21-AD21</f>
        <v>-5.5E-2</v>
      </c>
    </row>
    <row r="22" spans="1:31" ht="15" customHeight="1">
      <c r="A22" s="197" t="s">
        <v>784</v>
      </c>
      <c r="B22" s="197"/>
      <c r="E22" s="194">
        <v>1.4200000000000001E-2</v>
      </c>
      <c r="G22" s="194">
        <v>1.1999999999999999E-3</v>
      </c>
      <c r="H22" s="195"/>
      <c r="I22" s="194">
        <v>1.54E-2</v>
      </c>
      <c r="J22" s="196"/>
      <c r="K22" s="194">
        <v>1.09E-2</v>
      </c>
      <c r="M22" s="194">
        <v>1.1000000000000001E-3</v>
      </c>
      <c r="N22" s="195"/>
      <c r="O22" s="194">
        <v>1.2020998372426173E-2</v>
      </c>
      <c r="R22" s="193" t="str">
        <f t="shared" si="1"/>
        <v/>
      </c>
      <c r="S22" s="194">
        <v>1.09E-2</v>
      </c>
      <c r="U22" s="194">
        <v>1.1000000000000001E-3</v>
      </c>
      <c r="V22" s="195"/>
      <c r="W22" s="194">
        <v>1.2E-2</v>
      </c>
      <c r="AD22" s="261">
        <v>1.54E-2</v>
      </c>
      <c r="AE22" s="261">
        <f t="shared" si="2"/>
        <v>-3.4000000000000002E-3</v>
      </c>
    </row>
    <row r="23" spans="1:31" ht="5.25" customHeight="1">
      <c r="R23" s="193" t="str">
        <f t="shared" si="1"/>
        <v/>
      </c>
    </row>
    <row r="24" spans="1:31" ht="15" customHeight="1">
      <c r="A24" s="197" t="s">
        <v>48</v>
      </c>
      <c r="B24" s="197"/>
      <c r="R24" s="193" t="str">
        <f t="shared" si="1"/>
        <v/>
      </c>
    </row>
    <row r="25" spans="1:31" ht="15" customHeight="1">
      <c r="A25" s="195">
        <v>374.2</v>
      </c>
      <c r="B25" s="193" t="str">
        <f t="shared" ref="B25:B37" si="3">MID($A25,1,3)</f>
        <v>374</v>
      </c>
      <c r="C25" s="193" t="s">
        <v>151</v>
      </c>
      <c r="E25" s="194">
        <v>1.04E-2</v>
      </c>
      <c r="G25" s="194">
        <v>0</v>
      </c>
      <c r="H25" s="195"/>
      <c r="I25" s="194">
        <v>1.04E-2</v>
      </c>
      <c r="J25" s="196"/>
      <c r="K25" s="194">
        <v>1.7399999999999999E-2</v>
      </c>
      <c r="M25" s="194">
        <v>0</v>
      </c>
      <c r="N25" s="195"/>
      <c r="O25" s="194">
        <v>1.7399999999999999E-2</v>
      </c>
      <c r="Q25" s="201" t="s">
        <v>73</v>
      </c>
      <c r="R25" s="193" t="str">
        <f t="shared" si="1"/>
        <v>37400000</v>
      </c>
      <c r="S25" s="194">
        <v>1.7399999999999999E-2</v>
      </c>
      <c r="U25" s="194">
        <v>0</v>
      </c>
      <c r="V25" s="195"/>
      <c r="W25" s="194">
        <v>1.7399999999999999E-2</v>
      </c>
      <c r="AD25" s="260">
        <v>1.04E-2</v>
      </c>
      <c r="AE25" s="260">
        <f>W25-AD25</f>
        <v>6.9999999999999993E-3</v>
      </c>
    </row>
    <row r="26" spans="1:31" ht="15" customHeight="1">
      <c r="A26" s="195">
        <v>375</v>
      </c>
      <c r="B26" s="193" t="str">
        <f t="shared" si="3"/>
        <v>375</v>
      </c>
      <c r="C26" s="193" t="s">
        <v>54</v>
      </c>
      <c r="E26" s="194">
        <v>1.9199999999999998E-2</v>
      </c>
      <c r="G26" s="194">
        <v>0</v>
      </c>
      <c r="H26" s="195"/>
      <c r="I26" s="194">
        <v>1.9199999999999998E-2</v>
      </c>
      <c r="K26" s="194">
        <v>2.3700000000000002E-2</v>
      </c>
      <c r="M26" s="194">
        <v>0</v>
      </c>
      <c r="N26" s="195"/>
      <c r="O26" s="194">
        <v>2.3700000000000002E-2</v>
      </c>
      <c r="Q26" s="201" t="s">
        <v>73</v>
      </c>
      <c r="R26" s="193" t="str">
        <f t="shared" si="1"/>
        <v>37500000</v>
      </c>
      <c r="S26" s="194">
        <v>2.3700000000000002E-2</v>
      </c>
      <c r="U26" s="194">
        <v>0</v>
      </c>
      <c r="V26" s="195"/>
      <c r="W26" s="194">
        <v>2.3700000000000002E-2</v>
      </c>
      <c r="AD26" s="260">
        <v>1.9199999999999998E-2</v>
      </c>
      <c r="AE26" s="260">
        <f t="shared" ref="AE26:AE38" si="4">W26-AD26</f>
        <v>4.500000000000004E-3</v>
      </c>
    </row>
    <row r="27" spans="1:31" ht="15" customHeight="1">
      <c r="A27" s="195">
        <v>376</v>
      </c>
      <c r="B27" s="193" t="str">
        <f t="shared" si="3"/>
        <v>376</v>
      </c>
      <c r="C27" s="193" t="s">
        <v>1251</v>
      </c>
      <c r="E27" s="194">
        <v>1.7399999999999999E-2</v>
      </c>
      <c r="G27" s="194">
        <v>3.4999999999999988E-3</v>
      </c>
      <c r="H27" s="195"/>
      <c r="I27" s="194">
        <v>2.0899999999999998E-2</v>
      </c>
      <c r="K27" s="194">
        <v>1.52E-2</v>
      </c>
      <c r="M27" s="194">
        <v>6.000000000000001E-3</v>
      </c>
      <c r="N27" s="195"/>
      <c r="O27" s="194">
        <v>2.12E-2</v>
      </c>
      <c r="Q27" s="201" t="s">
        <v>73</v>
      </c>
      <c r="R27" s="193" t="str">
        <f t="shared" si="1"/>
        <v>37600000</v>
      </c>
      <c r="S27" s="194">
        <v>1.52E-2</v>
      </c>
      <c r="U27" s="194">
        <v>6.000000000000001E-3</v>
      </c>
      <c r="V27" s="195"/>
      <c r="W27" s="194">
        <v>2.12E-2</v>
      </c>
      <c r="AD27" s="260">
        <v>2.0899999999999998E-2</v>
      </c>
      <c r="AE27" s="688">
        <f>W27-AD27</f>
        <v>3.0000000000000165E-4</v>
      </c>
    </row>
    <row r="28" spans="1:31" ht="15" customHeight="1">
      <c r="A28" s="195">
        <v>378</v>
      </c>
      <c r="B28" s="193" t="str">
        <f t="shared" si="3"/>
        <v>378</v>
      </c>
      <c r="C28" s="193" t="s">
        <v>1162</v>
      </c>
      <c r="E28" s="194">
        <v>2.4E-2</v>
      </c>
      <c r="G28" s="194">
        <v>7.0000000000000019E-3</v>
      </c>
      <c r="H28" s="195"/>
      <c r="I28" s="194">
        <v>3.1000000000000003E-2</v>
      </c>
      <c r="K28" s="194">
        <v>1.7899999999999999E-2</v>
      </c>
      <c r="M28" s="194">
        <v>7.0999999999999995E-3</v>
      </c>
      <c r="N28" s="195"/>
      <c r="O28" s="194">
        <v>2.4999999999999998E-2</v>
      </c>
      <c r="Q28" s="201" t="s">
        <v>73</v>
      </c>
      <c r="R28" s="193" t="str">
        <f t="shared" si="1"/>
        <v>37800000</v>
      </c>
      <c r="S28" s="194">
        <v>1.7899999999999999E-2</v>
      </c>
      <c r="U28" s="194">
        <v>7.0999999999999995E-3</v>
      </c>
      <c r="V28" s="195"/>
      <c r="W28" s="194">
        <v>2.4999999999999998E-2</v>
      </c>
      <c r="AD28" s="260">
        <v>3.1E-2</v>
      </c>
      <c r="AE28" s="260">
        <f t="shared" si="4"/>
        <v>-6.0000000000000019E-3</v>
      </c>
    </row>
    <row r="29" spans="1:31" ht="15" customHeight="1">
      <c r="A29" s="195">
        <v>379</v>
      </c>
      <c r="B29" s="193" t="str">
        <f t="shared" si="3"/>
        <v>379</v>
      </c>
      <c r="C29" s="193" t="s">
        <v>1163</v>
      </c>
      <c r="E29" s="194">
        <v>2.4E-2</v>
      </c>
      <c r="G29" s="194">
        <v>0</v>
      </c>
      <c r="H29" s="195"/>
      <c r="I29" s="194">
        <v>2.4E-2</v>
      </c>
      <c r="K29" s="194">
        <v>1.8200000000000001E-2</v>
      </c>
      <c r="M29" s="194">
        <v>2.8000000000000004E-3</v>
      </c>
      <c r="N29" s="195"/>
      <c r="O29" s="194">
        <v>2.1000000000000001E-2</v>
      </c>
      <c r="Q29" s="201" t="s">
        <v>73</v>
      </c>
      <c r="R29" s="193" t="str">
        <f t="shared" si="1"/>
        <v>37900000</v>
      </c>
      <c r="S29" s="194">
        <v>1.8200000000000001E-2</v>
      </c>
      <c r="U29" s="194">
        <v>2.8000000000000004E-3</v>
      </c>
      <c r="V29" s="195"/>
      <c r="W29" s="194">
        <v>2.1000000000000001E-2</v>
      </c>
      <c r="AD29" s="260">
        <v>2.4E-2</v>
      </c>
      <c r="AE29" s="260">
        <f t="shared" si="4"/>
        <v>-2.9999999999999992E-3</v>
      </c>
    </row>
    <row r="30" spans="1:31" ht="15" customHeight="1">
      <c r="A30" s="195">
        <v>380</v>
      </c>
      <c r="B30" s="193" t="str">
        <f t="shared" si="3"/>
        <v>380</v>
      </c>
      <c r="C30" s="193" t="s">
        <v>126</v>
      </c>
      <c r="E30" s="194">
        <v>1.9099999999999999E-2</v>
      </c>
      <c r="G30" s="194">
        <v>9.4000000000000021E-3</v>
      </c>
      <c r="H30" s="195"/>
      <c r="I30" s="194">
        <v>2.8500000000000001E-2</v>
      </c>
      <c r="K30" s="194">
        <v>1.8500000000000003E-2</v>
      </c>
      <c r="M30" s="194">
        <v>4.4999999999999971E-3</v>
      </c>
      <c r="N30" s="195"/>
      <c r="O30" s="194">
        <v>2.3E-2</v>
      </c>
      <c r="Q30" s="201" t="s">
        <v>73</v>
      </c>
      <c r="R30" s="193" t="str">
        <f t="shared" si="1"/>
        <v>38000000</v>
      </c>
      <c r="S30" s="194">
        <v>1.8500000000000003E-2</v>
      </c>
      <c r="U30" s="194">
        <v>4.4999999999999971E-3</v>
      </c>
      <c r="V30" s="195"/>
      <c r="W30" s="194">
        <v>2.3E-2</v>
      </c>
      <c r="AD30" s="260">
        <v>2.8499999999999998E-2</v>
      </c>
      <c r="AE30" s="688">
        <f t="shared" si="4"/>
        <v>-5.4999999999999979E-3</v>
      </c>
    </row>
    <row r="31" spans="1:31" ht="15" customHeight="1">
      <c r="A31" s="195">
        <v>381</v>
      </c>
      <c r="B31" s="193" t="str">
        <f t="shared" si="3"/>
        <v>381</v>
      </c>
      <c r="C31" s="193" t="s">
        <v>55</v>
      </c>
      <c r="E31" s="194">
        <v>2.3599999999999999E-2</v>
      </c>
      <c r="G31" s="194">
        <v>0</v>
      </c>
      <c r="H31" s="195"/>
      <c r="I31" s="194">
        <v>2.3599999999999999E-2</v>
      </c>
      <c r="K31" s="194">
        <v>3.3799999999999997E-2</v>
      </c>
      <c r="M31" s="194">
        <v>1.6000000000000014E-3</v>
      </c>
      <c r="N31" s="195"/>
      <c r="O31" s="194">
        <v>3.5400000000000001E-2</v>
      </c>
      <c r="Q31" s="201" t="s">
        <v>73</v>
      </c>
      <c r="R31" s="193" t="str">
        <f t="shared" si="1"/>
        <v>38100000</v>
      </c>
      <c r="S31" s="194">
        <v>3.3799999999999997E-2</v>
      </c>
      <c r="U31" s="194">
        <v>1.6000000000000014E-3</v>
      </c>
      <c r="V31" s="195"/>
      <c r="W31" s="194">
        <v>3.5400000000000001E-2</v>
      </c>
      <c r="AD31" s="260">
        <v>2.3599999999999999E-2</v>
      </c>
      <c r="AE31" s="688">
        <f t="shared" si="4"/>
        <v>1.1800000000000001E-2</v>
      </c>
    </row>
    <row r="32" spans="1:31" ht="15" customHeight="1">
      <c r="A32" s="308"/>
      <c r="B32" s="409">
        <v>382</v>
      </c>
      <c r="C32" s="306" t="s">
        <v>1252</v>
      </c>
      <c r="D32" s="306"/>
      <c r="E32" s="307"/>
      <c r="F32" s="306"/>
      <c r="G32" s="307"/>
      <c r="H32" s="308"/>
      <c r="I32" s="307"/>
      <c r="J32" s="306"/>
      <c r="K32" s="307"/>
      <c r="L32" s="306"/>
      <c r="M32" s="307"/>
      <c r="N32" s="308"/>
      <c r="O32" s="307"/>
      <c r="P32" s="306"/>
      <c r="Q32" s="305" t="s">
        <v>73</v>
      </c>
      <c r="R32" s="306" t="str">
        <f>CONCATENATE(B32,Q32)</f>
        <v>38200000</v>
      </c>
      <c r="S32" s="307">
        <v>3.3799999999999997E-2</v>
      </c>
      <c r="T32" s="306"/>
      <c r="U32" s="307">
        <v>1.6000000000000014E-3</v>
      </c>
      <c r="V32" s="308"/>
      <c r="W32" s="307">
        <v>3.5400000000000001E-2</v>
      </c>
      <c r="X32" s="306" t="s">
        <v>1253</v>
      </c>
      <c r="Y32" s="306"/>
      <c r="Z32" s="306"/>
      <c r="AA32" s="306"/>
      <c r="AB32" s="306"/>
      <c r="AD32" s="260">
        <v>2.3599999999999999E-2</v>
      </c>
      <c r="AE32" s="688">
        <f>W32-AD32</f>
        <v>1.1800000000000001E-2</v>
      </c>
    </row>
    <row r="33" spans="1:35" ht="15" customHeight="1">
      <c r="A33" s="195">
        <v>383</v>
      </c>
      <c r="B33" s="193" t="str">
        <f t="shared" si="3"/>
        <v>383</v>
      </c>
      <c r="C33" s="193" t="s">
        <v>828</v>
      </c>
      <c r="E33" s="194">
        <v>2.58E-2</v>
      </c>
      <c r="G33" s="194">
        <v>0</v>
      </c>
      <c r="H33" s="195"/>
      <c r="I33" s="194">
        <v>2.58E-2</v>
      </c>
      <c r="K33" s="194">
        <v>2.23E-2</v>
      </c>
      <c r="M33" s="194">
        <v>0</v>
      </c>
      <c r="N33" s="195"/>
      <c r="O33" s="194">
        <v>2.23E-2</v>
      </c>
      <c r="Q33" s="201" t="s">
        <v>73</v>
      </c>
      <c r="R33" s="193" t="str">
        <f t="shared" si="1"/>
        <v>38300000</v>
      </c>
      <c r="S33" s="194">
        <v>2.23E-2</v>
      </c>
      <c r="U33" s="194">
        <v>0</v>
      </c>
      <c r="V33" s="195"/>
      <c r="W33" s="194">
        <v>2.23E-2</v>
      </c>
      <c r="AD33" s="260">
        <v>2.58E-2</v>
      </c>
      <c r="AE33" s="260">
        <f t="shared" si="4"/>
        <v>-3.4999999999999996E-3</v>
      </c>
    </row>
    <row r="34" spans="1:35" ht="15" customHeight="1">
      <c r="A34" s="195">
        <v>384</v>
      </c>
      <c r="B34" s="193" t="str">
        <f t="shared" si="3"/>
        <v>384</v>
      </c>
      <c r="C34" s="193" t="s">
        <v>1164</v>
      </c>
      <c r="E34" s="194">
        <v>2.76E-2</v>
      </c>
      <c r="G34" s="194">
        <v>0</v>
      </c>
      <c r="H34" s="195"/>
      <c r="I34" s="194">
        <v>2.76E-2</v>
      </c>
      <c r="K34" s="194">
        <v>2.52E-2</v>
      </c>
      <c r="M34" s="194">
        <v>0</v>
      </c>
      <c r="N34" s="195"/>
      <c r="O34" s="194">
        <v>2.52E-2</v>
      </c>
      <c r="Q34" s="201" t="s">
        <v>73</v>
      </c>
      <c r="R34" s="193" t="str">
        <f t="shared" si="1"/>
        <v>38400000</v>
      </c>
      <c r="S34" s="194">
        <v>2.52E-2</v>
      </c>
      <c r="U34" s="194">
        <v>0</v>
      </c>
      <c r="V34" s="195"/>
      <c r="W34" s="194">
        <v>2.52E-2</v>
      </c>
      <c r="AD34" s="260">
        <v>2.76E-2</v>
      </c>
      <c r="AE34" s="260">
        <f t="shared" si="4"/>
        <v>-2.3999999999999994E-3</v>
      </c>
    </row>
    <row r="35" spans="1:35" ht="15" customHeight="1">
      <c r="A35" s="195">
        <v>385</v>
      </c>
      <c r="B35" s="193" t="str">
        <f t="shared" si="3"/>
        <v>385</v>
      </c>
      <c r="C35" s="193" t="s">
        <v>1165</v>
      </c>
      <c r="E35" s="194">
        <v>2.1099999999999997E-2</v>
      </c>
      <c r="G35" s="194">
        <v>8.0000000000000019E-3</v>
      </c>
      <c r="H35" s="195"/>
      <c r="I35" s="194">
        <v>2.9100000000000001E-2</v>
      </c>
      <c r="K35" s="194">
        <v>2.1600000000000001E-2</v>
      </c>
      <c r="M35" s="194">
        <v>9.9999999999999655E-4</v>
      </c>
      <c r="N35" s="195"/>
      <c r="O35" s="194">
        <v>2.2599999999999999E-2</v>
      </c>
      <c r="Q35" s="201" t="s">
        <v>73</v>
      </c>
      <c r="R35" s="193" t="str">
        <f t="shared" si="1"/>
        <v>38500000</v>
      </c>
      <c r="S35" s="194">
        <v>2.1600000000000001E-2</v>
      </c>
      <c r="U35" s="194">
        <v>9.9999999999999655E-4</v>
      </c>
      <c r="V35" s="195"/>
      <c r="W35" s="194">
        <v>2.2599999999999999E-2</v>
      </c>
      <c r="AD35" s="260">
        <v>2.9100000000000001E-2</v>
      </c>
      <c r="AE35" s="260">
        <f t="shared" si="4"/>
        <v>-6.5000000000000023E-3</v>
      </c>
    </row>
    <row r="36" spans="1:35" ht="15" customHeight="1">
      <c r="A36" s="308">
        <v>385</v>
      </c>
      <c r="B36" s="306" t="s">
        <v>825</v>
      </c>
      <c r="C36" s="306" t="s">
        <v>1165</v>
      </c>
      <c r="D36" s="306"/>
      <c r="E36" s="307"/>
      <c r="F36" s="306"/>
      <c r="G36" s="307"/>
      <c r="H36" s="308"/>
      <c r="I36" s="307"/>
      <c r="J36" s="306"/>
      <c r="K36" s="307"/>
      <c r="L36" s="306"/>
      <c r="M36" s="307"/>
      <c r="N36" s="308"/>
      <c r="O36" s="307"/>
      <c r="P36" s="306"/>
      <c r="Q36" s="305" t="s">
        <v>1177</v>
      </c>
      <c r="R36" s="306" t="str">
        <f>CONCATENATE(B36,Q36)</f>
        <v>385GRFTH</v>
      </c>
      <c r="S36" s="307">
        <v>2.1600000000000001E-2</v>
      </c>
      <c r="T36" s="306"/>
      <c r="U36" s="307">
        <v>1E-3</v>
      </c>
      <c r="V36" s="308"/>
      <c r="W36" s="307">
        <v>2.2600000000000002E-2</v>
      </c>
      <c r="X36" s="306" t="s">
        <v>786</v>
      </c>
      <c r="AD36" s="260">
        <v>2.9100000000000001E-2</v>
      </c>
      <c r="AE36" s="260">
        <f>W36-AD36</f>
        <v>-6.4999999999999988E-3</v>
      </c>
    </row>
    <row r="37" spans="1:35" ht="15" customHeight="1">
      <c r="A37" s="195">
        <v>387</v>
      </c>
      <c r="B37" s="193" t="str">
        <f t="shared" si="3"/>
        <v>387</v>
      </c>
      <c r="C37" s="193" t="s">
        <v>1166</v>
      </c>
      <c r="E37" s="199">
        <v>3.0200000000000001E-2</v>
      </c>
      <c r="F37" s="300"/>
      <c r="G37" s="199">
        <v>0</v>
      </c>
      <c r="H37" s="301"/>
      <c r="I37" s="199">
        <v>3.0200000000000001E-2</v>
      </c>
      <c r="J37" s="300"/>
      <c r="K37" s="199">
        <v>1.89E-2</v>
      </c>
      <c r="L37" s="300"/>
      <c r="M37" s="199">
        <v>4.0000000000000002E-4</v>
      </c>
      <c r="N37" s="301"/>
      <c r="O37" s="199">
        <v>1.9300000000000001E-2</v>
      </c>
      <c r="P37" s="300"/>
      <c r="Q37" s="302" t="s">
        <v>73</v>
      </c>
      <c r="R37" s="300" t="str">
        <f t="shared" si="1"/>
        <v>38700000</v>
      </c>
      <c r="S37" s="199">
        <v>1.89E-2</v>
      </c>
      <c r="T37" s="300"/>
      <c r="U37" s="199">
        <v>4.0000000000000034E-4</v>
      </c>
      <c r="V37" s="301"/>
      <c r="W37" s="199">
        <v>1.9300000000000001E-2</v>
      </c>
      <c r="X37" s="300"/>
      <c r="AD37" s="260">
        <v>3.0200000000000001E-2</v>
      </c>
      <c r="AE37" s="260">
        <f t="shared" si="4"/>
        <v>-1.09E-2</v>
      </c>
    </row>
    <row r="38" spans="1:35" ht="15" customHeight="1">
      <c r="A38" s="197" t="s">
        <v>423</v>
      </c>
      <c r="B38" s="197"/>
      <c r="C38" s="197"/>
      <c r="E38" s="194">
        <v>1.9099999999999999E-2</v>
      </c>
      <c r="G38" s="194">
        <v>5.1000000000000004E-3</v>
      </c>
      <c r="H38" s="195"/>
      <c r="I38" s="194">
        <v>2.4199999999999999E-2</v>
      </c>
      <c r="J38" s="196"/>
      <c r="K38" s="194">
        <v>1.8700000000000001E-2</v>
      </c>
      <c r="M38" s="194">
        <v>4.7999999999999996E-3</v>
      </c>
      <c r="N38" s="195"/>
      <c r="O38" s="194">
        <v>2.35E-2</v>
      </c>
      <c r="R38" s="193" t="str">
        <f t="shared" si="1"/>
        <v/>
      </c>
      <c r="S38" s="194">
        <v>1.8700000000000001E-2</v>
      </c>
      <c r="U38" s="194">
        <v>4.7999999999999996E-3</v>
      </c>
      <c r="V38" s="195"/>
      <c r="W38" s="194">
        <v>2.3472435236381491E-2</v>
      </c>
      <c r="AD38" s="261">
        <v>2.4199999999999999E-2</v>
      </c>
      <c r="AE38" s="261">
        <f t="shared" si="4"/>
        <v>-7.2756476361850869E-4</v>
      </c>
    </row>
    <row r="39" spans="1:35" ht="5.25" customHeight="1">
      <c r="I39" s="194">
        <v>0</v>
      </c>
      <c r="R39" s="193" t="str">
        <f t="shared" si="1"/>
        <v/>
      </c>
    </row>
    <row r="40" spans="1:35" ht="15" customHeight="1">
      <c r="A40" s="197" t="s">
        <v>49</v>
      </c>
      <c r="B40" s="197"/>
      <c r="R40" s="193" t="str">
        <f t="shared" si="1"/>
        <v/>
      </c>
    </row>
    <row r="41" spans="1:35" ht="15" customHeight="1">
      <c r="A41" s="197" t="s">
        <v>424</v>
      </c>
      <c r="B41" s="197"/>
      <c r="R41" s="193" t="str">
        <f t="shared" si="1"/>
        <v/>
      </c>
    </row>
    <row r="42" spans="1:35" ht="15" customHeight="1">
      <c r="A42" s="193">
        <v>390</v>
      </c>
      <c r="B42" s="193" t="str">
        <f>MID($A42,1,3)</f>
        <v>390</v>
      </c>
      <c r="C42" s="193" t="s">
        <v>54</v>
      </c>
      <c r="E42" s="194">
        <v>3.6299999999999999E-2</v>
      </c>
      <c r="G42" s="194">
        <v>-2.3E-3</v>
      </c>
      <c r="H42" s="195"/>
      <c r="I42" s="194">
        <v>3.4000000000000002E-2</v>
      </c>
      <c r="K42" s="194">
        <v>2.6699999999999998E-2</v>
      </c>
      <c r="M42" s="194">
        <v>1.4000000000000013E-3</v>
      </c>
      <c r="N42" s="195"/>
      <c r="O42" s="194">
        <v>2.81E-2</v>
      </c>
      <c r="Q42" s="201" t="s">
        <v>73</v>
      </c>
      <c r="R42" s="193" t="str">
        <f t="shared" si="1"/>
        <v>39000000</v>
      </c>
      <c r="S42" s="194">
        <v>2.6699999999999998E-2</v>
      </c>
      <c r="U42" s="194">
        <v>1.4000000000000013E-3</v>
      </c>
      <c r="V42" s="195"/>
      <c r="W42" s="194">
        <v>2.81E-2</v>
      </c>
      <c r="AD42" s="260">
        <v>3.4000000000000002E-2</v>
      </c>
      <c r="AE42" s="260">
        <f>W42-AD42</f>
        <v>-5.9000000000000025E-3</v>
      </c>
      <c r="AI42" s="193" t="s">
        <v>70</v>
      </c>
    </row>
    <row r="43" spans="1:35" ht="15" customHeight="1">
      <c r="A43" s="193" t="s">
        <v>56</v>
      </c>
      <c r="B43" s="193" t="s">
        <v>56</v>
      </c>
      <c r="C43" s="193" t="s">
        <v>1244</v>
      </c>
      <c r="E43" s="194">
        <v>6.9099999999999995E-2</v>
      </c>
      <c r="G43" s="194">
        <v>-3.2000000000000028E-3</v>
      </c>
      <c r="H43" s="195"/>
      <c r="I43" s="194">
        <v>6.5899999999999986E-2</v>
      </c>
      <c r="K43" s="194">
        <v>4.0999999999999995E-2</v>
      </c>
      <c r="M43" s="194">
        <v>-5.5999999999999965E-3</v>
      </c>
      <c r="N43" s="195"/>
      <c r="O43" s="194">
        <v>3.5400000000000001E-2</v>
      </c>
      <c r="Q43" s="201" t="s">
        <v>73</v>
      </c>
      <c r="R43" s="193" t="str">
        <f t="shared" si="1"/>
        <v>392.C100000</v>
      </c>
      <c r="S43" s="194">
        <v>4.0999999999999995E-2</v>
      </c>
      <c r="U43" s="194">
        <v>-5.5999999999999965E-3</v>
      </c>
      <c r="V43" s="195"/>
      <c r="W43" s="194">
        <v>3.5400000000000001E-2</v>
      </c>
      <c r="AD43" s="260">
        <v>6.59E-2</v>
      </c>
      <c r="AE43" s="260">
        <f t="shared" ref="AE43:AE51" si="5">W43-AD43</f>
        <v>-3.0499999999999999E-2</v>
      </c>
    </row>
    <row r="44" spans="1:35" ht="15" customHeight="1">
      <c r="A44" s="193" t="s">
        <v>57</v>
      </c>
      <c r="B44" s="193" t="s">
        <v>57</v>
      </c>
      <c r="C44" s="193" t="s">
        <v>1245</v>
      </c>
      <c r="E44" s="194">
        <v>1.66E-2</v>
      </c>
      <c r="G44" s="194">
        <v>6.0000000000000049E-4</v>
      </c>
      <c r="H44" s="195"/>
      <c r="I44" s="194">
        <v>1.72E-2</v>
      </c>
      <c r="K44" s="194">
        <v>6.1799999999999994E-2</v>
      </c>
      <c r="M44" s="194">
        <v>-4.8999999999999929E-3</v>
      </c>
      <c r="N44" s="195"/>
      <c r="O44" s="194">
        <v>5.6899999999999999E-2</v>
      </c>
      <c r="Q44" s="201" t="s">
        <v>73</v>
      </c>
      <c r="R44" s="193" t="str">
        <f t="shared" si="1"/>
        <v>392.C200000</v>
      </c>
      <c r="S44" s="194">
        <v>6.1799999999999994E-2</v>
      </c>
      <c r="U44" s="194">
        <v>-4.8999999999999929E-3</v>
      </c>
      <c r="V44" s="195"/>
      <c r="W44" s="194">
        <v>5.6899999999999999E-2</v>
      </c>
      <c r="AD44" s="260">
        <v>1.72E-2</v>
      </c>
      <c r="AE44" s="260">
        <f t="shared" si="5"/>
        <v>3.9699999999999999E-2</v>
      </c>
    </row>
    <row r="45" spans="1:35" ht="15" customHeight="1">
      <c r="A45" s="193" t="s">
        <v>58</v>
      </c>
      <c r="B45" s="193" t="s">
        <v>58</v>
      </c>
      <c r="C45" s="193" t="s">
        <v>1246</v>
      </c>
      <c r="E45" s="194">
        <v>0.11220000000000001</v>
      </c>
      <c r="G45" s="194">
        <v>-4.4000000000000124E-3</v>
      </c>
      <c r="H45" s="195"/>
      <c r="I45" s="194">
        <v>0.10779999999999999</v>
      </c>
      <c r="K45" s="194">
        <v>3.8199999999999998E-2</v>
      </c>
      <c r="M45" s="194">
        <v>-3.5999999999999986E-3</v>
      </c>
      <c r="N45" s="195"/>
      <c r="O45" s="194">
        <v>3.4599999999999999E-2</v>
      </c>
      <c r="Q45" s="201" t="s">
        <v>73</v>
      </c>
      <c r="R45" s="193" t="str">
        <f t="shared" ref="R45:R69" si="6">CONCATENATE(B45,Q45)</f>
        <v>392.C300000</v>
      </c>
      <c r="S45" s="194">
        <v>3.8199999999999998E-2</v>
      </c>
      <c r="U45" s="194">
        <v>-3.5999999999999986E-3</v>
      </c>
      <c r="V45" s="195"/>
      <c r="W45" s="194">
        <v>3.4599999999999999E-2</v>
      </c>
      <c r="AD45" s="260">
        <v>0.10779999999999999</v>
      </c>
      <c r="AE45" s="260">
        <f t="shared" si="5"/>
        <v>-7.3199999999999987E-2</v>
      </c>
    </row>
    <row r="46" spans="1:35" ht="15" customHeight="1">
      <c r="A46" s="193" t="s">
        <v>59</v>
      </c>
      <c r="B46" s="193" t="s">
        <v>59</v>
      </c>
      <c r="C46" s="193" t="s">
        <v>1247</v>
      </c>
      <c r="E46" s="194">
        <v>-1.26E-2</v>
      </c>
      <c r="G46" s="194">
        <v>0</v>
      </c>
      <c r="H46" s="195"/>
      <c r="I46" s="194">
        <v>-1.26E-2</v>
      </c>
      <c r="K46" s="194">
        <v>-4.4000000000000003E-3</v>
      </c>
      <c r="M46" s="194">
        <v>3.999999999999998E-4</v>
      </c>
      <c r="N46" s="195"/>
      <c r="O46" s="194">
        <v>-4.0000000000000001E-3</v>
      </c>
      <c r="Q46" s="201" t="s">
        <v>73</v>
      </c>
      <c r="R46" s="193" t="str">
        <f t="shared" si="6"/>
        <v>392.C500000</v>
      </c>
      <c r="S46" s="194">
        <v>-4.4000000000000003E-3</v>
      </c>
      <c r="U46" s="194">
        <v>3.999999999999998E-4</v>
      </c>
      <c r="V46" s="195"/>
      <c r="W46" s="194">
        <v>-4.0000000000000001E-3</v>
      </c>
      <c r="AD46" s="260">
        <v>-1.26E-2</v>
      </c>
      <c r="AE46" s="260">
        <f t="shared" si="5"/>
        <v>8.6E-3</v>
      </c>
    </row>
    <row r="47" spans="1:35" ht="15" customHeight="1">
      <c r="A47" s="193" t="s">
        <v>60</v>
      </c>
      <c r="B47" s="193" t="s">
        <v>60</v>
      </c>
      <c r="C47" s="193" t="s">
        <v>1248</v>
      </c>
      <c r="E47" s="194">
        <v>0.1198</v>
      </c>
      <c r="G47" s="194">
        <v>-1.2000000000000011E-2</v>
      </c>
      <c r="H47" s="195"/>
      <c r="I47" s="194">
        <v>0.10779999999999999</v>
      </c>
      <c r="K47" s="194">
        <v>-0.11259999999999999</v>
      </c>
      <c r="M47" s="194">
        <v>1.1299999999999991E-2</v>
      </c>
      <c r="N47" s="195"/>
      <c r="O47" s="194">
        <v>-0.1013</v>
      </c>
      <c r="Q47" s="201" t="s">
        <v>73</v>
      </c>
      <c r="R47" s="193" t="str">
        <f t="shared" si="6"/>
        <v>392.C600000</v>
      </c>
      <c r="S47" s="194">
        <v>-0.11259999999999999</v>
      </c>
      <c r="U47" s="194">
        <v>1.1299999999999991E-2</v>
      </c>
      <c r="V47" s="195"/>
      <c r="W47" s="194">
        <v>-0.1013</v>
      </c>
      <c r="AD47" s="260">
        <v>0.10780000000000001</v>
      </c>
      <c r="AE47" s="260">
        <f>W47-AD47</f>
        <v>-0.20910000000000001</v>
      </c>
    </row>
    <row r="48" spans="1:35" ht="15" customHeight="1">
      <c r="A48" s="193" t="s">
        <v>61</v>
      </c>
      <c r="B48" s="193" t="s">
        <v>61</v>
      </c>
      <c r="C48" s="193" t="s">
        <v>1249</v>
      </c>
      <c r="E48" s="194">
        <v>-1.26E-2</v>
      </c>
      <c r="G48" s="194">
        <v>1.3000000000000012E-3</v>
      </c>
      <c r="H48" s="195"/>
      <c r="I48" s="194">
        <v>-1.1299999999999999E-2</v>
      </c>
      <c r="K48" s="194">
        <v>-8.2200000000000009E-2</v>
      </c>
      <c r="M48" s="194">
        <v>1.2100000000000008E-2</v>
      </c>
      <c r="N48" s="195"/>
      <c r="O48" s="194">
        <v>-7.0099999999999996E-2</v>
      </c>
      <c r="Q48" s="201" t="s">
        <v>73</v>
      </c>
      <c r="R48" s="193" t="str">
        <f t="shared" si="6"/>
        <v>392.C700000</v>
      </c>
      <c r="S48" s="194">
        <v>-8.2200000000000009E-2</v>
      </c>
      <c r="U48" s="194">
        <v>1.2100000000000008E-2</v>
      </c>
      <c r="V48" s="195"/>
      <c r="W48" s="194">
        <v>-7.0099999999999996E-2</v>
      </c>
      <c r="AD48" s="260">
        <v>-1.1300000000000001E-2</v>
      </c>
      <c r="AE48" s="260">
        <f t="shared" si="5"/>
        <v>-5.8799999999999991E-2</v>
      </c>
    </row>
    <row r="49" spans="1:31" ht="15" customHeight="1">
      <c r="A49" s="193" t="s">
        <v>62</v>
      </c>
      <c r="B49" s="193" t="s">
        <v>62</v>
      </c>
      <c r="C49" s="193" t="s">
        <v>1250</v>
      </c>
      <c r="E49" s="194">
        <v>4.4699999999999997E-2</v>
      </c>
      <c r="G49" s="194">
        <v>-4.3999999999999951E-3</v>
      </c>
      <c r="H49" s="195"/>
      <c r="I49" s="194">
        <v>4.0300000000000002E-2</v>
      </c>
      <c r="K49" s="194">
        <v>1.47E-2</v>
      </c>
      <c r="M49" s="194">
        <v>-1.0000000000000009E-4</v>
      </c>
      <c r="N49" s="195"/>
      <c r="O49" s="194">
        <v>1.46E-2</v>
      </c>
      <c r="Q49" s="201" t="s">
        <v>73</v>
      </c>
      <c r="R49" s="193" t="str">
        <f t="shared" si="6"/>
        <v>392.C900000</v>
      </c>
      <c r="S49" s="194">
        <v>1.47E-2</v>
      </c>
      <c r="U49" s="194">
        <v>-1.0000000000000009E-4</v>
      </c>
      <c r="V49" s="195"/>
      <c r="W49" s="194">
        <v>1.46E-2</v>
      </c>
      <c r="AD49" s="260">
        <v>4.0299999999999996E-2</v>
      </c>
      <c r="AE49" s="260">
        <f t="shared" si="5"/>
        <v>-2.5699999999999994E-2</v>
      </c>
    </row>
    <row r="50" spans="1:31" ht="15" customHeight="1">
      <c r="A50" s="193">
        <v>396</v>
      </c>
      <c r="B50" s="193" t="str">
        <f>MID($A50,1,3)</f>
        <v>396</v>
      </c>
      <c r="C50" s="193" t="s">
        <v>105</v>
      </c>
      <c r="E50" s="199">
        <v>4.4900000000000002E-2</v>
      </c>
      <c r="G50" s="199">
        <v>-4.5000000000000014E-3</v>
      </c>
      <c r="H50" s="195"/>
      <c r="I50" s="199">
        <v>4.0399999999999998E-2</v>
      </c>
      <c r="J50" s="196"/>
      <c r="K50" s="199">
        <v>2.7099999999999999E-2</v>
      </c>
      <c r="M50" s="199">
        <v>-2.1999999999999975E-3</v>
      </c>
      <c r="N50" s="195"/>
      <c r="O50" s="199">
        <v>2.4900000000000002E-2</v>
      </c>
      <c r="Q50" s="302" t="s">
        <v>73</v>
      </c>
      <c r="R50" s="300" t="str">
        <f t="shared" si="6"/>
        <v>39600000</v>
      </c>
      <c r="S50" s="199">
        <v>2.7099999999999999E-2</v>
      </c>
      <c r="U50" s="199">
        <v>-2.1999999999999975E-3</v>
      </c>
      <c r="V50" s="195"/>
      <c r="W50" s="198">
        <v>2.4900000000000002E-2</v>
      </c>
      <c r="AD50" s="260">
        <v>4.0400000000000005E-2</v>
      </c>
      <c r="AE50" s="260">
        <f t="shared" si="5"/>
        <v>-1.5500000000000003E-2</v>
      </c>
    </row>
    <row r="51" spans="1:31" ht="15" customHeight="1">
      <c r="A51" s="197" t="s">
        <v>425</v>
      </c>
      <c r="B51" s="197"/>
      <c r="E51" s="194">
        <v>3.9899999999999998E-2</v>
      </c>
      <c r="G51" s="194">
        <v>-2.3E-3</v>
      </c>
      <c r="H51" s="195"/>
      <c r="I51" s="194">
        <v>3.7599999999999995E-2</v>
      </c>
      <c r="J51" s="196"/>
      <c r="K51" s="194">
        <v>2.1499999999999998E-2</v>
      </c>
      <c r="M51" s="194">
        <v>5.9999999999999995E-4</v>
      </c>
      <c r="N51" s="195"/>
      <c r="O51" s="194">
        <v>2.2108519042986358E-2</v>
      </c>
      <c r="R51" s="193" t="str">
        <f t="shared" si="6"/>
        <v/>
      </c>
      <c r="S51" s="194">
        <v>2.1499999999999998E-2</v>
      </c>
      <c r="U51" s="194">
        <v>5.9999999999999995E-4</v>
      </c>
      <c r="V51" s="195"/>
      <c r="W51" s="194">
        <v>2.2108519042986358E-2</v>
      </c>
      <c r="AD51" s="261">
        <v>3.7599999999999995E-2</v>
      </c>
      <c r="AE51" s="261">
        <f t="shared" si="5"/>
        <v>-1.5491480957013637E-2</v>
      </c>
    </row>
    <row r="52" spans="1:31" ht="5.25" customHeight="1">
      <c r="A52" s="197"/>
      <c r="B52" s="197"/>
      <c r="O52" s="194">
        <f>SUM(K52:M52)</f>
        <v>0</v>
      </c>
      <c r="R52" s="193" t="str">
        <f t="shared" si="6"/>
        <v/>
      </c>
    </row>
    <row r="53" spans="1:31" ht="15" customHeight="1">
      <c r="A53" s="197" t="s">
        <v>426</v>
      </c>
      <c r="B53" s="197"/>
      <c r="R53" s="193" t="str">
        <f t="shared" si="6"/>
        <v/>
      </c>
    </row>
    <row r="54" spans="1:31" ht="15" customHeight="1">
      <c r="A54" s="193">
        <v>302</v>
      </c>
      <c r="B54" s="193" t="str">
        <f>MID($A54,1,3)</f>
        <v>302</v>
      </c>
      <c r="C54" s="193" t="s">
        <v>1167</v>
      </c>
      <c r="E54" s="194">
        <v>0.04</v>
      </c>
      <c r="F54" s="303"/>
      <c r="G54" s="303">
        <v>0</v>
      </c>
      <c r="H54" s="304"/>
      <c r="I54" s="194">
        <v>0.04</v>
      </c>
      <c r="K54" s="723" t="s">
        <v>1170</v>
      </c>
      <c r="L54" s="723"/>
      <c r="M54" s="723"/>
      <c r="N54" s="202" t="e">
        <v>#REF!</v>
      </c>
      <c r="O54" s="194">
        <v>0.04</v>
      </c>
      <c r="Q54" s="201" t="s">
        <v>73</v>
      </c>
      <c r="R54" s="193" t="str">
        <f t="shared" si="6"/>
        <v>30200000</v>
      </c>
      <c r="S54" s="200">
        <v>0.04</v>
      </c>
      <c r="T54" s="219"/>
      <c r="U54" s="219"/>
      <c r="V54" s="202" t="e">
        <v>#REF!</v>
      </c>
      <c r="W54" s="194">
        <v>0.04</v>
      </c>
      <c r="AD54" s="260">
        <v>0.04</v>
      </c>
      <c r="AE54" s="356">
        <f t="shared" ref="AE54:AE64" si="7">W54-AD54</f>
        <v>0</v>
      </c>
    </row>
    <row r="55" spans="1:31" ht="15" customHeight="1">
      <c r="A55" s="193">
        <v>303</v>
      </c>
      <c r="B55" s="193" t="str">
        <f>MID($A55,1,3)</f>
        <v>303</v>
      </c>
      <c r="C55" s="193" t="s">
        <v>1168</v>
      </c>
      <c r="E55" s="194">
        <v>6.6699999999999995E-2</v>
      </c>
      <c r="F55" s="303"/>
      <c r="G55" s="303">
        <v>0</v>
      </c>
      <c r="H55" s="304"/>
      <c r="I55" s="194">
        <v>6.6699999999999995E-2</v>
      </c>
      <c r="K55" s="723" t="s">
        <v>1171</v>
      </c>
      <c r="L55" s="723"/>
      <c r="M55" s="723"/>
      <c r="N55" s="202"/>
      <c r="O55" s="194">
        <v>6.6699999999999995E-2</v>
      </c>
      <c r="Q55" s="201" t="s">
        <v>73</v>
      </c>
      <c r="R55" s="193" t="str">
        <f t="shared" si="6"/>
        <v>30300000</v>
      </c>
      <c r="S55" s="200">
        <v>6.6699999999999995E-2</v>
      </c>
      <c r="T55" s="219"/>
      <c r="U55" s="219"/>
      <c r="V55" s="202"/>
      <c r="W55" s="194">
        <v>6.6699999999999995E-2</v>
      </c>
      <c r="AD55" s="260">
        <v>6.6699999999999995E-2</v>
      </c>
      <c r="AE55" s="356">
        <f t="shared" si="7"/>
        <v>0</v>
      </c>
    </row>
    <row r="56" spans="1:31" ht="15" customHeight="1">
      <c r="A56" s="193">
        <v>391</v>
      </c>
      <c r="B56" s="193" t="str">
        <f>CONCATENATE(MID($A56,1,3),".OE")</f>
        <v>391.OE</v>
      </c>
      <c r="C56" s="193" t="s">
        <v>157</v>
      </c>
      <c r="E56" s="194">
        <v>4.5499999999999999E-2</v>
      </c>
      <c r="F56" s="303"/>
      <c r="G56" s="303">
        <v>0</v>
      </c>
      <c r="H56" s="304"/>
      <c r="I56" s="194">
        <v>4.5499999999999999E-2</v>
      </c>
      <c r="K56" s="723" t="s">
        <v>1172</v>
      </c>
      <c r="L56" s="723"/>
      <c r="M56" s="723"/>
      <c r="N56" s="202"/>
      <c r="O56" s="194">
        <v>4.5499999999999999E-2</v>
      </c>
      <c r="Q56" s="201" t="s">
        <v>73</v>
      </c>
      <c r="R56" s="193" t="str">
        <f t="shared" si="6"/>
        <v>391.OE00000</v>
      </c>
      <c r="S56" s="200">
        <v>4.5499999999999999E-2</v>
      </c>
      <c r="T56" s="219"/>
      <c r="U56" s="219"/>
      <c r="V56" s="202"/>
      <c r="W56" s="194">
        <v>4.5499999999999999E-2</v>
      </c>
      <c r="AD56" s="260">
        <v>4.5499999999999999E-2</v>
      </c>
      <c r="AE56" s="356">
        <f t="shared" si="7"/>
        <v>0</v>
      </c>
    </row>
    <row r="57" spans="1:31" ht="15" customHeight="1">
      <c r="A57" s="193">
        <v>391.2</v>
      </c>
      <c r="B57" s="193" t="str">
        <f>CONCATENATE(MID($A57,1,3),".NT")</f>
        <v>391.NT</v>
      </c>
      <c r="C57" s="193" t="s">
        <v>1169</v>
      </c>
      <c r="E57" s="194">
        <v>0.2</v>
      </c>
      <c r="F57" s="303"/>
      <c r="G57" s="303">
        <v>0</v>
      </c>
      <c r="H57" s="304"/>
      <c r="I57" s="194">
        <v>0.2</v>
      </c>
      <c r="K57" s="723" t="s">
        <v>1173</v>
      </c>
      <c r="L57" s="723"/>
      <c r="M57" s="723"/>
      <c r="N57" s="202"/>
      <c r="O57" s="194">
        <v>0.2</v>
      </c>
      <c r="Q57" s="201" t="s">
        <v>73</v>
      </c>
      <c r="R57" s="193" t="str">
        <f t="shared" si="6"/>
        <v>391.NT00000</v>
      </c>
      <c r="S57" s="200">
        <v>0.2</v>
      </c>
      <c r="T57" s="219"/>
      <c r="U57" s="219"/>
      <c r="V57" s="202"/>
      <c r="W57" s="194">
        <v>0.2</v>
      </c>
      <c r="AD57" s="260">
        <v>0.2</v>
      </c>
      <c r="AE57" s="356">
        <f t="shared" si="7"/>
        <v>0</v>
      </c>
    </row>
    <row r="58" spans="1:31" ht="15" customHeight="1">
      <c r="A58" s="306">
        <v>391.2</v>
      </c>
      <c r="B58" s="306" t="str">
        <f>CONCATENATE(MID($A58,1,3),".CP")</f>
        <v>391.CP</v>
      </c>
      <c r="C58" s="306" t="s">
        <v>1169</v>
      </c>
      <c r="D58" s="306"/>
      <c r="E58" s="307"/>
      <c r="F58" s="314"/>
      <c r="G58" s="314"/>
      <c r="H58" s="315"/>
      <c r="I58" s="307"/>
      <c r="J58" s="306"/>
      <c r="K58" s="316"/>
      <c r="L58" s="317"/>
      <c r="M58" s="317"/>
      <c r="N58" s="317"/>
      <c r="O58" s="307"/>
      <c r="P58" s="306"/>
      <c r="Q58" s="305" t="s">
        <v>73</v>
      </c>
      <c r="R58" s="306" t="str">
        <f>CONCATENATE(B58,Q58)</f>
        <v>391.CP00000</v>
      </c>
      <c r="S58" s="318">
        <v>0.2</v>
      </c>
      <c r="T58" s="319"/>
      <c r="U58" s="319"/>
      <c r="V58" s="317"/>
      <c r="W58" s="307">
        <v>0.2</v>
      </c>
      <c r="X58" s="306" t="s">
        <v>786</v>
      </c>
      <c r="AD58" s="260">
        <v>0.2</v>
      </c>
      <c r="AE58" s="356"/>
    </row>
    <row r="59" spans="1:31" ht="15" customHeight="1">
      <c r="A59" s="193">
        <v>393</v>
      </c>
      <c r="B59" s="193" t="str">
        <f>MID($A59,1,3)</f>
        <v>393</v>
      </c>
      <c r="C59" s="193" t="s">
        <v>63</v>
      </c>
      <c r="E59" s="194">
        <v>2.86E-2</v>
      </c>
      <c r="F59" s="303"/>
      <c r="G59" s="303">
        <v>0</v>
      </c>
      <c r="H59" s="304"/>
      <c r="I59" s="194">
        <v>2.86E-2</v>
      </c>
      <c r="K59" s="723" t="s">
        <v>1174</v>
      </c>
      <c r="L59" s="723"/>
      <c r="M59" s="723"/>
      <c r="N59" s="202"/>
      <c r="O59" s="194">
        <v>2.86E-2</v>
      </c>
      <c r="Q59" s="201" t="s">
        <v>73</v>
      </c>
      <c r="R59" s="193" t="str">
        <f t="shared" si="6"/>
        <v>39300000</v>
      </c>
      <c r="S59" s="200">
        <v>2.86E-2</v>
      </c>
      <c r="T59" s="219"/>
      <c r="U59" s="219"/>
      <c r="V59" s="202"/>
      <c r="W59" s="194">
        <v>2.86E-2</v>
      </c>
      <c r="AD59" s="260">
        <v>2.86E-2</v>
      </c>
      <c r="AE59" s="356">
        <f t="shared" si="7"/>
        <v>0</v>
      </c>
    </row>
    <row r="60" spans="1:31" ht="15" customHeight="1">
      <c r="A60" s="193">
        <v>394</v>
      </c>
      <c r="B60" s="193" t="str">
        <f>MID($A60,1,3)</f>
        <v>394</v>
      </c>
      <c r="C60" s="193" t="s">
        <v>64</v>
      </c>
      <c r="E60" s="194">
        <v>0.04</v>
      </c>
      <c r="F60" s="303"/>
      <c r="G60" s="303">
        <v>0</v>
      </c>
      <c r="H60" s="304"/>
      <c r="I60" s="194">
        <v>0.04</v>
      </c>
      <c r="K60" s="723" t="s">
        <v>1170</v>
      </c>
      <c r="L60" s="723"/>
      <c r="M60" s="723"/>
      <c r="N60" s="202"/>
      <c r="O60" s="194">
        <v>0.04</v>
      </c>
      <c r="Q60" s="201" t="s">
        <v>73</v>
      </c>
      <c r="R60" s="193" t="str">
        <f t="shared" si="6"/>
        <v>39400000</v>
      </c>
      <c r="S60" s="200">
        <v>0.04</v>
      </c>
      <c r="T60" s="219"/>
      <c r="U60" s="219"/>
      <c r="V60" s="202"/>
      <c r="W60" s="194">
        <v>0.04</v>
      </c>
      <c r="AD60" s="260">
        <v>0.04</v>
      </c>
      <c r="AE60" s="356">
        <f t="shared" si="7"/>
        <v>0</v>
      </c>
    </row>
    <row r="61" spans="1:31" ht="15" customHeight="1">
      <c r="A61" s="201">
        <v>395</v>
      </c>
      <c r="B61" s="193" t="str">
        <f>MID($A61,1,3)</f>
        <v>395</v>
      </c>
      <c r="C61" s="193" t="s">
        <v>65</v>
      </c>
      <c r="E61" s="194">
        <v>0.11110000000000002</v>
      </c>
      <c r="F61" s="194"/>
      <c r="G61" s="194">
        <v>0</v>
      </c>
      <c r="H61" s="304"/>
      <c r="I61" s="194">
        <v>0.11110000000000002</v>
      </c>
      <c r="K61" s="723" t="s">
        <v>1175</v>
      </c>
      <c r="L61" s="723"/>
      <c r="M61" s="723"/>
      <c r="N61" s="202"/>
      <c r="O61" s="194">
        <v>0.1111</v>
      </c>
      <c r="Q61" s="201" t="s">
        <v>73</v>
      </c>
      <c r="R61" s="193" t="str">
        <f t="shared" si="6"/>
        <v>39500000</v>
      </c>
      <c r="S61" s="200">
        <v>0.1111</v>
      </c>
      <c r="T61" s="200"/>
      <c r="U61" s="200"/>
      <c r="V61" s="202"/>
      <c r="W61" s="194">
        <v>0.11110000000000002</v>
      </c>
      <c r="AD61" s="260">
        <v>0.1111</v>
      </c>
      <c r="AE61" s="356">
        <f t="shared" si="7"/>
        <v>0</v>
      </c>
    </row>
    <row r="62" spans="1:31" ht="15" customHeight="1">
      <c r="A62" s="193">
        <v>397</v>
      </c>
      <c r="B62" s="193" t="str">
        <f>MID($A62,1,3)</f>
        <v>397</v>
      </c>
      <c r="C62" s="193" t="s">
        <v>163</v>
      </c>
      <c r="E62" s="194">
        <v>6.6699999999999995E-2</v>
      </c>
      <c r="F62" s="303"/>
      <c r="G62" s="303">
        <v>0</v>
      </c>
      <c r="H62" s="304"/>
      <c r="I62" s="194">
        <v>6.6699999999999995E-2</v>
      </c>
      <c r="J62" s="196"/>
      <c r="K62" s="723" t="s">
        <v>50</v>
      </c>
      <c r="L62" s="723"/>
      <c r="M62" s="723"/>
      <c r="N62" s="202"/>
      <c r="O62" s="194">
        <v>6.6699999999999995E-2</v>
      </c>
      <c r="Q62" s="201" t="s">
        <v>73</v>
      </c>
      <c r="R62" s="193" t="str">
        <f t="shared" si="6"/>
        <v>39700000</v>
      </c>
      <c r="S62" s="200">
        <v>6.6699999999999995E-2</v>
      </c>
      <c r="T62" s="219"/>
      <c r="U62" s="219"/>
      <c r="V62" s="202"/>
      <c r="W62" s="194">
        <v>6.6699999999999995E-2</v>
      </c>
      <c r="AD62" s="260">
        <v>6.6699999999999995E-2</v>
      </c>
      <c r="AE62" s="356">
        <f t="shared" si="7"/>
        <v>0</v>
      </c>
    </row>
    <row r="63" spans="1:31" ht="15" customHeight="1">
      <c r="A63" s="193">
        <v>398</v>
      </c>
      <c r="B63" s="193" t="str">
        <f>MID($A63,1,3)</f>
        <v>398</v>
      </c>
      <c r="C63" s="193" t="s">
        <v>66</v>
      </c>
      <c r="E63" s="199">
        <v>0.04</v>
      </c>
      <c r="F63" s="320"/>
      <c r="G63" s="320">
        <v>0</v>
      </c>
      <c r="H63" s="321"/>
      <c r="I63" s="199">
        <v>0.04</v>
      </c>
      <c r="J63" s="322"/>
      <c r="K63" s="720" t="s">
        <v>1170</v>
      </c>
      <c r="L63" s="721"/>
      <c r="M63" s="721"/>
      <c r="N63" s="283"/>
      <c r="O63" s="199">
        <v>0.04</v>
      </c>
      <c r="P63" s="300"/>
      <c r="Q63" s="302" t="s">
        <v>73</v>
      </c>
      <c r="R63" s="300" t="str">
        <f>CONCATENATE(B63,Q63)</f>
        <v>39800000</v>
      </c>
      <c r="S63" s="323">
        <v>0.04</v>
      </c>
      <c r="T63" s="324"/>
      <c r="U63" s="324"/>
      <c r="V63" s="283"/>
      <c r="W63" s="199">
        <v>0.04</v>
      </c>
      <c r="X63" s="300"/>
      <c r="AD63" s="260">
        <v>0.04</v>
      </c>
      <c r="AE63" s="356"/>
    </row>
    <row r="64" spans="1:31" ht="15" customHeight="1">
      <c r="A64" s="197" t="s">
        <v>427</v>
      </c>
      <c r="B64" s="197"/>
      <c r="E64" s="194">
        <v>7.7100000000000002E-2</v>
      </c>
      <c r="F64" s="194"/>
      <c r="G64" s="194">
        <v>0</v>
      </c>
      <c r="H64" s="194"/>
      <c r="I64" s="194">
        <v>7.7100000000000002E-2</v>
      </c>
      <c r="J64" s="196"/>
      <c r="K64" s="194"/>
      <c r="M64" s="194">
        <v>0</v>
      </c>
      <c r="N64" s="195"/>
      <c r="O64" s="194">
        <v>7.7100000000000002E-2</v>
      </c>
      <c r="R64" s="193" t="str">
        <f t="shared" si="6"/>
        <v/>
      </c>
      <c r="S64" s="194"/>
      <c r="U64" s="194">
        <v>0</v>
      </c>
      <c r="V64" s="195"/>
      <c r="W64" s="194">
        <v>7.7081848767666133E-2</v>
      </c>
      <c r="AD64" s="261">
        <v>7.7100000000000002E-2</v>
      </c>
      <c r="AE64" s="357">
        <f t="shared" si="7"/>
        <v>-1.8151232333868395E-5</v>
      </c>
    </row>
    <row r="65" spans="1:31" ht="5.25" customHeight="1">
      <c r="E65" s="195"/>
      <c r="I65" s="194"/>
      <c r="K65" s="195"/>
      <c r="M65" s="200"/>
      <c r="N65" s="195"/>
      <c r="O65" s="194"/>
      <c r="R65" s="193" t="str">
        <f t="shared" si="6"/>
        <v/>
      </c>
      <c r="S65" s="195"/>
      <c r="U65" s="200"/>
      <c r="V65" s="195"/>
      <c r="W65" s="194"/>
      <c r="AD65" s="200"/>
      <c r="AE65" s="200"/>
    </row>
    <row r="66" spans="1:31" ht="15" customHeight="1">
      <c r="A66" s="197" t="s">
        <v>428</v>
      </c>
      <c r="B66" s="197"/>
      <c r="E66" s="194">
        <v>5.11E-2</v>
      </c>
      <c r="G66" s="194">
        <v>-1.6000000000000001E-3</v>
      </c>
      <c r="H66" s="195"/>
      <c r="I66" s="194">
        <v>4.9500000000000002E-2</v>
      </c>
      <c r="J66" s="196"/>
      <c r="K66" s="194">
        <v>3.8199999999999998E-2</v>
      </c>
      <c r="M66" s="194">
        <v>4.0000000000000002E-4</v>
      </c>
      <c r="N66" s="195"/>
      <c r="O66" s="194">
        <v>3.8699999999999998E-2</v>
      </c>
      <c r="R66" s="193" t="str">
        <f t="shared" si="6"/>
        <v/>
      </c>
      <c r="S66" s="194">
        <v>3.8199999999999998E-2</v>
      </c>
      <c r="U66" s="194">
        <v>4.0000000000000002E-4</v>
      </c>
      <c r="V66" s="195"/>
      <c r="W66" s="194">
        <v>3.8655650927467894E-2</v>
      </c>
      <c r="AD66" s="194"/>
      <c r="AE66" s="194"/>
    </row>
    <row r="67" spans="1:31" ht="5.25" customHeight="1">
      <c r="E67" s="195"/>
      <c r="I67" s="194"/>
      <c r="K67" s="195"/>
      <c r="M67" s="200"/>
      <c r="N67" s="195"/>
      <c r="O67" s="194"/>
      <c r="R67" s="193" t="str">
        <f t="shared" si="6"/>
        <v/>
      </c>
      <c r="S67" s="195"/>
      <c r="U67" s="200"/>
      <c r="V67" s="195"/>
      <c r="W67" s="194"/>
      <c r="AD67" s="200"/>
      <c r="AE67" s="200"/>
    </row>
    <row r="68" spans="1:31" ht="15" customHeight="1">
      <c r="A68" s="197" t="s">
        <v>1176</v>
      </c>
      <c r="B68" s="197"/>
      <c r="E68" s="194">
        <v>2.1999999999999999E-2</v>
      </c>
      <c r="G68" s="194">
        <v>4.3E-3</v>
      </c>
      <c r="H68" s="195"/>
      <c r="I68" s="194">
        <v>2.6299999999999997E-2</v>
      </c>
      <c r="J68" s="196"/>
      <c r="K68" s="194">
        <v>2.0199999999999999E-2</v>
      </c>
      <c r="M68" s="194">
        <v>4.1999999999999997E-3</v>
      </c>
      <c r="N68" s="195"/>
      <c r="O68" s="194">
        <v>2.4500000000000001E-2</v>
      </c>
      <c r="R68" s="193" t="str">
        <f t="shared" si="6"/>
        <v/>
      </c>
      <c r="S68" s="194">
        <v>2.0199999999999999E-2</v>
      </c>
      <c r="U68" s="194">
        <v>4.1999999999999997E-3</v>
      </c>
      <c r="V68" s="195"/>
      <c r="W68" s="194">
        <v>2.445042713676189E-2</v>
      </c>
      <c r="AD68" s="194"/>
      <c r="AE68" s="194"/>
    </row>
    <row r="69" spans="1:31" ht="5.25" customHeight="1">
      <c r="E69" s="195"/>
      <c r="I69" s="194"/>
      <c r="K69" s="195"/>
      <c r="M69" s="200"/>
      <c r="N69" s="195"/>
      <c r="O69" s="194"/>
      <c r="R69" s="193" t="str">
        <f t="shared" si="6"/>
        <v/>
      </c>
      <c r="S69" s="195"/>
      <c r="U69" s="200"/>
      <c r="V69" s="195"/>
      <c r="W69" s="194"/>
      <c r="AD69" s="200"/>
      <c r="AE69" s="200"/>
    </row>
  </sheetData>
  <mergeCells count="13">
    <mergeCell ref="M1:O1"/>
    <mergeCell ref="K54:M54"/>
    <mergeCell ref="K55:M55"/>
    <mergeCell ref="Q7:R7"/>
    <mergeCell ref="K7:O7"/>
    <mergeCell ref="K63:M63"/>
    <mergeCell ref="E7:I7"/>
    <mergeCell ref="K61:M61"/>
    <mergeCell ref="K59:M59"/>
    <mergeCell ref="K57:M57"/>
    <mergeCell ref="K62:M62"/>
    <mergeCell ref="K60:M60"/>
    <mergeCell ref="K56:M56"/>
  </mergeCells>
  <hyperlinks>
    <hyperlink ref="C5" r:id="rId1" xr:uid="{3BC964CE-E6D3-403D-B48F-B43A5F90C0C0}"/>
  </hyperlinks>
  <printOptions horizontalCentered="1"/>
  <pageMargins left="0.25" right="0.25" top="0.75" bottom="0.75" header="0.3" footer="0.3"/>
  <pageSetup scale="47" fitToHeight="0" orientation="landscape" r:id="rId2"/>
  <headerFooter>
    <oddFooter>&amp;L&amp;F (&amp;D)&amp;R&amp;18&amp;KFF0000 5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CB13-19BD-45C3-9D48-6E8FB95F0471}">
  <sheetPr>
    <pageSetUpPr fitToPage="1"/>
  </sheetPr>
  <dimension ref="C30"/>
  <sheetViews>
    <sheetView workbookViewId="0">
      <selection activeCell="G35" sqref="G35"/>
    </sheetView>
  </sheetViews>
  <sheetFormatPr defaultRowHeight="15"/>
  <sheetData>
    <row r="30" spans="3:3">
      <c r="C30" s="436" t="s">
        <v>41</v>
      </c>
    </row>
  </sheetData>
  <pageMargins left="0.7" right="0.7" top="0.75" bottom="0.75" header="0.3" footer="0.3"/>
  <pageSetup scale="46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0B40-8084-4D35-B7BE-3DD53FABE9D6}">
  <sheetPr>
    <pageSetUpPr fitToPage="1"/>
  </sheetPr>
  <dimension ref="A1:H52"/>
  <sheetViews>
    <sheetView topLeftCell="A56" zoomScaleNormal="100" workbookViewId="0">
      <selection activeCell="B15" sqref="B15"/>
    </sheetView>
  </sheetViews>
  <sheetFormatPr defaultColWidth="8.5703125" defaultRowHeight="11.25"/>
  <cols>
    <col min="1" max="1" width="22" style="640" customWidth="1"/>
    <col min="2" max="2" width="10.42578125" style="640" bestFit="1" customWidth="1"/>
    <col min="3" max="3" width="11" style="641" bestFit="1" customWidth="1"/>
    <col min="4" max="4" width="7.5703125" style="640" bestFit="1" customWidth="1"/>
    <col min="5" max="5" width="12.42578125" style="640" bestFit="1" customWidth="1"/>
    <col min="6" max="6" width="5" style="640" bestFit="1" customWidth="1"/>
    <col min="7" max="7" width="11.5703125" style="640" customWidth="1"/>
    <col min="8" max="16384" width="8.5703125" style="640"/>
  </cols>
  <sheetData>
    <row r="1" spans="1:6" customFormat="1" ht="12.75" customHeight="1">
      <c r="A1" s="603" t="s">
        <v>1314</v>
      </c>
      <c r="B1" t="s">
        <v>1072</v>
      </c>
      <c r="C1" s="299" t="s">
        <v>1337</v>
      </c>
    </row>
    <row r="2" spans="1:6" customFormat="1" ht="12.75" customHeight="1">
      <c r="A2" s="604" t="s">
        <v>1315</v>
      </c>
    </row>
    <row r="3" spans="1:6" customFormat="1" ht="12.75" customHeight="1">
      <c r="A3" s="604" t="s">
        <v>1316</v>
      </c>
    </row>
    <row r="4" spans="1:6" customFormat="1" ht="12.75" customHeight="1">
      <c r="A4" s="605" t="s">
        <v>1355</v>
      </c>
    </row>
    <row r="5" spans="1:6" customFormat="1" ht="15"/>
    <row r="6" spans="1:6">
      <c r="A6" s="639" t="s">
        <v>1356</v>
      </c>
    </row>
    <row r="7" spans="1:6">
      <c r="A7" s="639" t="s">
        <v>1357</v>
      </c>
    </row>
    <row r="8" spans="1:6">
      <c r="A8" s="639"/>
    </row>
    <row r="9" spans="1:6">
      <c r="A9" s="639" t="s">
        <v>1358</v>
      </c>
      <c r="B9" s="658">
        <v>380</v>
      </c>
    </row>
    <row r="10" spans="1:6">
      <c r="A10" s="639" t="s">
        <v>1359</v>
      </c>
      <c r="B10" s="643" t="s">
        <v>126</v>
      </c>
    </row>
    <row r="11" spans="1:6">
      <c r="A11" s="639"/>
    </row>
    <row r="12" spans="1:6">
      <c r="A12" s="639" t="s">
        <v>1360</v>
      </c>
      <c r="B12" s="644">
        <v>35</v>
      </c>
    </row>
    <row r="13" spans="1:6">
      <c r="A13" s="639"/>
      <c r="B13" s="644"/>
    </row>
    <row r="14" spans="1:6">
      <c r="A14" s="639"/>
      <c r="B14" s="645" t="s">
        <v>1361</v>
      </c>
      <c r="D14" s="646" t="s">
        <v>1362</v>
      </c>
    </row>
    <row r="15" spans="1:6">
      <c r="A15" s="639" t="s">
        <v>1363</v>
      </c>
      <c r="B15" s="660">
        <f>'[19]A5-02 FORTIS PIS'!F26</f>
        <v>43555</v>
      </c>
      <c r="C15" s="648" t="s">
        <v>1364</v>
      </c>
      <c r="D15" s="647">
        <f>+B15/B12</f>
        <v>1244.4285714285713</v>
      </c>
      <c r="E15" s="649" t="s">
        <v>1365</v>
      </c>
      <c r="F15" s="647">
        <f>ROUND(D15/2,0)</f>
        <v>622</v>
      </c>
    </row>
    <row r="16" spans="1:6" ht="12.75">
      <c r="B16" s="659" t="s">
        <v>41</v>
      </c>
    </row>
    <row r="17" spans="1:8" ht="45">
      <c r="A17" s="644" t="s">
        <v>1366</v>
      </c>
      <c r="B17" s="644" t="s">
        <v>1367</v>
      </c>
      <c r="C17" s="650" t="s">
        <v>1368</v>
      </c>
    </row>
    <row r="18" spans="1:8">
      <c r="A18" s="644">
        <v>1</v>
      </c>
      <c r="B18" s="642">
        <v>2013</v>
      </c>
      <c r="C18" s="651">
        <f>ROUND(B15/B12,0)</f>
        <v>1244</v>
      </c>
    </row>
    <row r="19" spans="1:8">
      <c r="A19" s="644">
        <v>2</v>
      </c>
      <c r="B19" s="642">
        <v>2014</v>
      </c>
      <c r="C19" s="641">
        <f>+C18+$D$15</f>
        <v>2488.4285714285716</v>
      </c>
    </row>
    <row r="20" spans="1:8">
      <c r="A20" s="644">
        <v>3</v>
      </c>
      <c r="B20" s="642">
        <v>2015</v>
      </c>
      <c r="C20" s="641">
        <f>+C19+$D$15</f>
        <v>3732.8571428571431</v>
      </c>
    </row>
    <row r="21" spans="1:8">
      <c r="A21" s="644">
        <v>4</v>
      </c>
      <c r="B21" s="642">
        <v>2016</v>
      </c>
      <c r="C21" s="641">
        <f t="shared" ref="C21:C52" si="0">+C20+$D$15</f>
        <v>4977.2857142857147</v>
      </c>
    </row>
    <row r="22" spans="1:8">
      <c r="A22" s="644">
        <v>5</v>
      </c>
      <c r="B22" s="642">
        <v>2017</v>
      </c>
      <c r="C22" s="641">
        <f t="shared" si="0"/>
        <v>6221.7142857142862</v>
      </c>
    </row>
    <row r="23" spans="1:8">
      <c r="A23" s="644">
        <v>6</v>
      </c>
      <c r="B23" s="642">
        <v>2018</v>
      </c>
      <c r="C23" s="641">
        <f t="shared" si="0"/>
        <v>7466.1428571428578</v>
      </c>
    </row>
    <row r="24" spans="1:8">
      <c r="A24" s="644">
        <v>7</v>
      </c>
      <c r="B24" s="642">
        <v>2019</v>
      </c>
      <c r="C24" s="641">
        <f t="shared" si="0"/>
        <v>8710.5714285714294</v>
      </c>
      <c r="D24" s="652"/>
    </row>
    <row r="25" spans="1:8">
      <c r="A25" s="644">
        <v>8</v>
      </c>
      <c r="B25" s="642">
        <v>2020</v>
      </c>
      <c r="C25" s="641">
        <f t="shared" si="0"/>
        <v>9955</v>
      </c>
    </row>
    <row r="26" spans="1:8">
      <c r="A26" s="644">
        <v>9</v>
      </c>
      <c r="B26" s="642">
        <v>2021</v>
      </c>
      <c r="C26" s="641">
        <f t="shared" si="0"/>
        <v>11199.428571428571</v>
      </c>
    </row>
    <row r="27" spans="1:8">
      <c r="A27" s="644">
        <v>10</v>
      </c>
      <c r="B27" s="642">
        <v>2022</v>
      </c>
      <c r="C27" s="641">
        <f t="shared" si="0"/>
        <v>12443.857142857141</v>
      </c>
    </row>
    <row r="28" spans="1:8">
      <c r="A28" s="644">
        <v>11</v>
      </c>
      <c r="B28" s="642">
        <v>2023</v>
      </c>
      <c r="C28" s="641">
        <f t="shared" si="0"/>
        <v>13688.285714285712</v>
      </c>
      <c r="D28" s="653"/>
    </row>
    <row r="29" spans="1:8">
      <c r="A29" s="644">
        <v>12</v>
      </c>
      <c r="B29" s="642">
        <v>2024</v>
      </c>
      <c r="C29" s="641">
        <f t="shared" si="0"/>
        <v>14932.714285714283</v>
      </c>
      <c r="D29" s="653"/>
      <c r="E29" s="654">
        <f>ROUND(+C28+F15,0)</f>
        <v>14310</v>
      </c>
      <c r="F29" s="652"/>
      <c r="G29" s="640" t="s">
        <v>1369</v>
      </c>
    </row>
    <row r="30" spans="1:8" ht="12" thickBot="1">
      <c r="A30" s="644">
        <v>13</v>
      </c>
      <c r="B30" s="642">
        <v>2025</v>
      </c>
      <c r="C30" s="641">
        <f t="shared" si="0"/>
        <v>16177.142857142853</v>
      </c>
      <c r="D30" s="653"/>
      <c r="E30" s="654">
        <f>E29+D15</f>
        <v>15554.428571428571</v>
      </c>
      <c r="G30" s="640" t="s">
        <v>1370</v>
      </c>
    </row>
    <row r="31" spans="1:8" ht="12" thickBot="1">
      <c r="A31" s="644">
        <v>14</v>
      </c>
      <c r="B31" s="642">
        <v>2026</v>
      </c>
      <c r="C31" s="655">
        <f t="shared" si="0"/>
        <v>17421.571428571424</v>
      </c>
      <c r="E31" s="656">
        <f>E30+D15</f>
        <v>16798.857142857141</v>
      </c>
      <c r="G31" s="640" t="s">
        <v>1371</v>
      </c>
      <c r="H31" s="657"/>
    </row>
    <row r="32" spans="1:8">
      <c r="A32" s="644">
        <v>15</v>
      </c>
      <c r="B32" s="642">
        <v>2027</v>
      </c>
      <c r="C32" s="641">
        <f t="shared" si="0"/>
        <v>18665.999999999996</v>
      </c>
      <c r="E32" s="657" t="s">
        <v>1334</v>
      </c>
    </row>
    <row r="33" spans="1:5">
      <c r="A33" s="644">
        <v>16</v>
      </c>
      <c r="B33" s="642">
        <v>2028</v>
      </c>
      <c r="C33" s="641">
        <f t="shared" si="0"/>
        <v>19910.428571428569</v>
      </c>
    </row>
    <row r="34" spans="1:5">
      <c r="A34" s="644">
        <v>17</v>
      </c>
      <c r="B34" s="642">
        <v>2029</v>
      </c>
      <c r="C34" s="641">
        <f t="shared" si="0"/>
        <v>21154.857142857141</v>
      </c>
      <c r="E34" s="653"/>
    </row>
    <row r="35" spans="1:5">
      <c r="A35" s="644">
        <v>18</v>
      </c>
      <c r="B35" s="642">
        <v>2030</v>
      </c>
      <c r="C35" s="641">
        <f t="shared" si="0"/>
        <v>22399.285714285714</v>
      </c>
    </row>
    <row r="36" spans="1:5">
      <c r="A36" s="644">
        <v>19</v>
      </c>
      <c r="B36" s="642">
        <v>2031</v>
      </c>
      <c r="C36" s="641">
        <f t="shared" si="0"/>
        <v>23643.714285714286</v>
      </c>
    </row>
    <row r="37" spans="1:5">
      <c r="A37" s="644">
        <v>20</v>
      </c>
      <c r="B37" s="642">
        <v>2032</v>
      </c>
      <c r="C37" s="641">
        <f t="shared" si="0"/>
        <v>24888.142857142859</v>
      </c>
    </row>
    <row r="38" spans="1:5">
      <c r="A38" s="644">
        <v>21</v>
      </c>
      <c r="B38" s="642">
        <v>2033</v>
      </c>
      <c r="C38" s="641">
        <f t="shared" si="0"/>
        <v>26132.571428571431</v>
      </c>
    </row>
    <row r="39" spans="1:5">
      <c r="A39" s="644">
        <v>22</v>
      </c>
      <c r="B39" s="642">
        <v>2034</v>
      </c>
      <c r="C39" s="641">
        <f t="shared" si="0"/>
        <v>27377.000000000004</v>
      </c>
    </row>
    <row r="40" spans="1:5">
      <c r="A40" s="644">
        <v>23</v>
      </c>
      <c r="B40" s="642">
        <v>2035</v>
      </c>
      <c r="C40" s="641">
        <f t="shared" si="0"/>
        <v>28621.428571428576</v>
      </c>
    </row>
    <row r="41" spans="1:5">
      <c r="A41" s="644">
        <v>24</v>
      </c>
      <c r="B41" s="642">
        <v>2036</v>
      </c>
      <c r="C41" s="641">
        <f t="shared" si="0"/>
        <v>29865.857142857149</v>
      </c>
    </row>
    <row r="42" spans="1:5">
      <c r="A42" s="644">
        <v>25</v>
      </c>
      <c r="B42" s="642">
        <v>2037</v>
      </c>
      <c r="C42" s="641">
        <f t="shared" si="0"/>
        <v>31110.285714285721</v>
      </c>
    </row>
    <row r="43" spans="1:5">
      <c r="A43" s="644">
        <v>26</v>
      </c>
      <c r="B43" s="642">
        <v>2038</v>
      </c>
      <c r="C43" s="641">
        <f t="shared" si="0"/>
        <v>32354.714285714294</v>
      </c>
    </row>
    <row r="44" spans="1:5">
      <c r="A44" s="644">
        <v>27</v>
      </c>
      <c r="B44" s="642">
        <v>2039</v>
      </c>
      <c r="C44" s="641">
        <f t="shared" si="0"/>
        <v>33599.142857142862</v>
      </c>
    </row>
    <row r="45" spans="1:5">
      <c r="A45" s="644">
        <v>28</v>
      </c>
      <c r="B45" s="642">
        <v>2040</v>
      </c>
      <c r="C45" s="641">
        <f t="shared" si="0"/>
        <v>34843.571428571435</v>
      </c>
    </row>
    <row r="46" spans="1:5">
      <c r="A46" s="644">
        <v>29</v>
      </c>
      <c r="B46" s="642">
        <v>2041</v>
      </c>
      <c r="C46" s="641">
        <f t="shared" si="0"/>
        <v>36088.000000000007</v>
      </c>
    </row>
    <row r="47" spans="1:5">
      <c r="A47" s="644">
        <v>30</v>
      </c>
      <c r="B47" s="642">
        <v>2042</v>
      </c>
      <c r="C47" s="641">
        <f t="shared" si="0"/>
        <v>37332.42857142858</v>
      </c>
    </row>
    <row r="48" spans="1:5">
      <c r="A48" s="644">
        <v>31</v>
      </c>
      <c r="B48" s="642">
        <v>2043</v>
      </c>
      <c r="C48" s="641">
        <f t="shared" si="0"/>
        <v>38576.857142857152</v>
      </c>
    </row>
    <row r="49" spans="1:3">
      <c r="A49" s="644">
        <v>32</v>
      </c>
      <c r="B49" s="642">
        <v>2044</v>
      </c>
      <c r="C49" s="641">
        <f t="shared" si="0"/>
        <v>39821.285714285725</v>
      </c>
    </row>
    <row r="50" spans="1:3">
      <c r="A50" s="644">
        <v>33</v>
      </c>
      <c r="B50" s="642">
        <v>2045</v>
      </c>
      <c r="C50" s="641">
        <f t="shared" si="0"/>
        <v>41065.714285714297</v>
      </c>
    </row>
    <row r="51" spans="1:3">
      <c r="A51" s="644">
        <v>34</v>
      </c>
      <c r="B51" s="642">
        <v>2046</v>
      </c>
      <c r="C51" s="641">
        <f t="shared" si="0"/>
        <v>42310.14285714287</v>
      </c>
    </row>
    <row r="52" spans="1:3">
      <c r="A52" s="644">
        <v>35</v>
      </c>
      <c r="B52" s="642">
        <v>2047</v>
      </c>
      <c r="C52" s="641">
        <f t="shared" si="0"/>
        <v>43554.571428571442</v>
      </c>
    </row>
  </sheetData>
  <hyperlinks>
    <hyperlink ref="C1" r:id="rId1" xr:uid="{2F1F2652-B19F-466F-89A3-8BA057BC2544}"/>
  </hyperlinks>
  <pageMargins left="0.7" right="0.7" top="0.75" bottom="0.75" header="0.3" footer="0.3"/>
  <pageSetup scale="78" orientation="landscape" horizontalDpi="1200" verticalDpi="120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0AF2-9D69-44C0-9816-54AE4598C442}">
  <sheetPr>
    <pageSetUpPr fitToPage="1"/>
  </sheetPr>
  <dimension ref="A1:F54"/>
  <sheetViews>
    <sheetView topLeftCell="A39" zoomScaleNormal="100" workbookViewId="0">
      <selection activeCell="D10" sqref="D10"/>
    </sheetView>
  </sheetViews>
  <sheetFormatPr defaultColWidth="9.28515625" defaultRowHeight="15"/>
  <cols>
    <col min="1" max="1" width="20.5703125" style="481" customWidth="1"/>
    <col min="2" max="2" width="40.5703125" style="481" customWidth="1"/>
    <col min="3" max="4" width="15.5703125" style="481" customWidth="1"/>
    <col min="5" max="5" width="11.85546875" style="481" bestFit="1" customWidth="1"/>
    <col min="6" max="16384" width="9.28515625" style="481"/>
  </cols>
  <sheetData>
    <row r="1" spans="1:4">
      <c r="A1" s="728" t="s">
        <v>1154</v>
      </c>
      <c r="B1" s="728"/>
      <c r="C1" s="728"/>
      <c r="D1" s="728"/>
    </row>
    <row r="2" spans="1:4">
      <c r="A2" s="728" t="s">
        <v>1272</v>
      </c>
      <c r="B2" s="728"/>
      <c r="C2" s="728"/>
      <c r="D2" s="728"/>
    </row>
    <row r="3" spans="1:4">
      <c r="A3" s="728" t="s">
        <v>1267</v>
      </c>
      <c r="B3" s="728"/>
      <c r="C3" s="728"/>
      <c r="D3" s="728"/>
    </row>
    <row r="4" spans="1:4">
      <c r="A4" s="482"/>
      <c r="B4" s="482"/>
      <c r="C4" s="482"/>
      <c r="D4" s="482"/>
    </row>
    <row r="5" spans="1:4">
      <c r="A5" s="482"/>
      <c r="B5" s="482"/>
      <c r="C5" s="482"/>
      <c r="D5" s="482"/>
    </row>
    <row r="6" spans="1:4">
      <c r="A6" s="483"/>
      <c r="B6" s="482"/>
      <c r="C6" s="482"/>
      <c r="D6" s="482"/>
    </row>
    <row r="7" spans="1:4">
      <c r="A7" s="484" t="s">
        <v>94</v>
      </c>
      <c r="B7" s="485" t="s">
        <v>1273</v>
      </c>
      <c r="C7" s="482"/>
      <c r="D7" s="482"/>
    </row>
    <row r="8" spans="1:4">
      <c r="A8" s="484" t="s">
        <v>95</v>
      </c>
      <c r="B8" s="486" t="s">
        <v>1274</v>
      </c>
      <c r="C8" s="487"/>
      <c r="D8" s="482"/>
    </row>
    <row r="9" spans="1:4">
      <c r="A9" s="484" t="s">
        <v>96</v>
      </c>
      <c r="B9" s="488">
        <v>45505</v>
      </c>
      <c r="C9" s="482"/>
      <c r="D9" s="482"/>
    </row>
    <row r="10" spans="1:4">
      <c r="A10" s="484" t="s">
        <v>97</v>
      </c>
      <c r="B10" s="486" t="s">
        <v>1275</v>
      </c>
      <c r="C10" s="482"/>
      <c r="D10" s="482"/>
    </row>
    <row r="11" spans="1:4">
      <c r="A11" s="484" t="s">
        <v>98</v>
      </c>
      <c r="B11" s="486" t="s">
        <v>1276</v>
      </c>
      <c r="C11" s="482"/>
      <c r="D11" s="482"/>
    </row>
    <row r="12" spans="1:4">
      <c r="A12" s="484" t="s">
        <v>99</v>
      </c>
      <c r="B12" s="486" t="s">
        <v>1277</v>
      </c>
      <c r="C12" s="482"/>
      <c r="D12" s="482"/>
    </row>
    <row r="13" spans="1:4">
      <c r="A13" s="482"/>
      <c r="B13" s="482"/>
      <c r="C13" s="482"/>
      <c r="D13" s="482"/>
    </row>
    <row r="14" spans="1:4">
      <c r="A14" s="482"/>
      <c r="B14" s="482"/>
      <c r="C14" s="482"/>
      <c r="D14" s="482"/>
    </row>
    <row r="15" spans="1:4">
      <c r="A15" s="489" t="s">
        <v>100</v>
      </c>
      <c r="B15" s="490"/>
      <c r="C15" s="491"/>
      <c r="D15" s="491"/>
    </row>
    <row r="16" spans="1:4">
      <c r="A16" s="492" t="s">
        <v>101</v>
      </c>
      <c r="B16" s="493" t="s">
        <v>102</v>
      </c>
      <c r="C16" s="492" t="s">
        <v>103</v>
      </c>
      <c r="D16" s="492" t="s">
        <v>104</v>
      </c>
    </row>
    <row r="17" spans="1:6">
      <c r="A17" s="492"/>
      <c r="B17" s="493"/>
      <c r="C17" s="493"/>
      <c r="D17" s="492"/>
    </row>
    <row r="18" spans="1:6">
      <c r="A18" s="494">
        <v>101</v>
      </c>
      <c r="B18" s="495" t="s">
        <v>1278</v>
      </c>
      <c r="C18" s="496"/>
      <c r="D18" s="496"/>
    </row>
    <row r="19" spans="1:6">
      <c r="A19" s="497">
        <v>365</v>
      </c>
      <c r="B19" s="498" t="s">
        <v>816</v>
      </c>
      <c r="C19" s="496"/>
      <c r="D19" s="496">
        <f>'[20]2. Adjustment Detail'!G9</f>
        <v>4398</v>
      </c>
    </row>
    <row r="20" spans="1:6">
      <c r="A20" s="497">
        <v>366</v>
      </c>
      <c r="B20" s="498" t="s">
        <v>54</v>
      </c>
      <c r="C20" s="496"/>
      <c r="D20" s="496">
        <f>'[20]2. Adjustment Detail'!G10</f>
        <v>927</v>
      </c>
    </row>
    <row r="21" spans="1:6">
      <c r="A21" s="497">
        <v>367</v>
      </c>
      <c r="B21" s="498" t="s">
        <v>817</v>
      </c>
      <c r="C21" s="496"/>
      <c r="D21" s="496">
        <f>'[20]2. Adjustment Detail'!G11</f>
        <v>951045</v>
      </c>
    </row>
    <row r="22" spans="1:6">
      <c r="A22" s="497">
        <v>369</v>
      </c>
      <c r="B22" s="498" t="s">
        <v>1255</v>
      </c>
      <c r="C22" s="496"/>
      <c r="D22" s="496">
        <f>'[20]2. Adjustment Detail'!G12</f>
        <v>148343</v>
      </c>
    </row>
    <row r="23" spans="1:6">
      <c r="A23" s="497">
        <v>371</v>
      </c>
      <c r="B23" s="498" t="s">
        <v>815</v>
      </c>
      <c r="C23" s="496"/>
      <c r="D23" s="496">
        <f>'[20]2. Adjustment Detail'!G13</f>
        <v>0</v>
      </c>
    </row>
    <row r="24" spans="1:6">
      <c r="A24" s="497">
        <v>374</v>
      </c>
      <c r="B24" s="498" t="s">
        <v>816</v>
      </c>
      <c r="C24" s="496"/>
      <c r="D24" s="496">
        <f>'[20]2. Adjustment Detail'!G17</f>
        <v>19413</v>
      </c>
    </row>
    <row r="25" spans="1:6">
      <c r="A25" s="497">
        <v>375</v>
      </c>
      <c r="B25" s="498" t="s">
        <v>54</v>
      </c>
      <c r="C25" s="496"/>
      <c r="D25" s="496">
        <f>'[20]2. Adjustment Detail'!G18</f>
        <v>6994</v>
      </c>
    </row>
    <row r="26" spans="1:6">
      <c r="A26" s="497">
        <v>376</v>
      </c>
      <c r="B26" s="498" t="s">
        <v>817</v>
      </c>
      <c r="C26" s="496"/>
      <c r="D26" s="496">
        <f>'[20]2. Adjustment Detail'!G19</f>
        <v>11122406</v>
      </c>
    </row>
    <row r="27" spans="1:6">
      <c r="A27" s="497">
        <v>378</v>
      </c>
      <c r="B27" s="498" t="s">
        <v>1279</v>
      </c>
      <c r="C27" s="496"/>
      <c r="D27" s="496">
        <f>'[20]2. Adjustment Detail'!G20</f>
        <v>234187</v>
      </c>
    </row>
    <row r="28" spans="1:6">
      <c r="A28" s="497">
        <v>379</v>
      </c>
      <c r="B28" s="498" t="s">
        <v>1280</v>
      </c>
      <c r="C28" s="496"/>
      <c r="D28" s="496">
        <f>'[20]2. Adjustment Detail'!G21</f>
        <v>252568</v>
      </c>
    </row>
    <row r="29" spans="1:6" ht="15.75" thickBot="1">
      <c r="A29" s="497">
        <v>387</v>
      </c>
      <c r="B29" s="498" t="s">
        <v>815</v>
      </c>
      <c r="C29" s="496"/>
      <c r="D29" s="496">
        <f>'[20]2. Adjustment Detail'!G22</f>
        <v>100809</v>
      </c>
      <c r="E29" s="508">
        <f>SUM(D19:D29)</f>
        <v>12841090</v>
      </c>
      <c r="F29" s="624" t="s">
        <v>1336</v>
      </c>
    </row>
    <row r="30" spans="1:6" ht="15.75" thickTop="1">
      <c r="A30" s="497"/>
      <c r="B30" s="498"/>
      <c r="C30" s="496"/>
      <c r="D30" s="496"/>
      <c r="E30" s="517" t="s">
        <v>41</v>
      </c>
    </row>
    <row r="31" spans="1:6">
      <c r="A31" s="494">
        <v>108</v>
      </c>
      <c r="B31" s="495" t="s">
        <v>1281</v>
      </c>
      <c r="C31" s="496"/>
      <c r="D31" s="496"/>
    </row>
    <row r="32" spans="1:6">
      <c r="A32" s="497">
        <v>365</v>
      </c>
      <c r="B32" s="498" t="s">
        <v>816</v>
      </c>
      <c r="C32" s="496">
        <f>'[20]2. Adjustment Detail'!G31</f>
        <v>5039</v>
      </c>
      <c r="D32" s="496"/>
    </row>
    <row r="33" spans="1:5">
      <c r="A33" s="497">
        <v>366</v>
      </c>
      <c r="B33" s="498" t="s">
        <v>54</v>
      </c>
      <c r="C33" s="496">
        <f>'[20]2. Adjustment Detail'!G32</f>
        <v>721</v>
      </c>
      <c r="D33" s="496"/>
    </row>
    <row r="34" spans="1:5">
      <c r="A34" s="497">
        <v>367</v>
      </c>
      <c r="B34" s="498" t="s">
        <v>817</v>
      </c>
      <c r="C34" s="496">
        <f>'[20]2. Adjustment Detail'!G33</f>
        <v>902582</v>
      </c>
      <c r="D34" s="496"/>
    </row>
    <row r="35" spans="1:5">
      <c r="A35" s="497">
        <v>369</v>
      </c>
      <c r="B35" s="498" t="s">
        <v>1255</v>
      </c>
      <c r="C35" s="496">
        <f>'[20]2. Adjustment Detail'!G34</f>
        <v>155660</v>
      </c>
      <c r="D35" s="496"/>
    </row>
    <row r="36" spans="1:5">
      <c r="A36" s="497">
        <v>371</v>
      </c>
      <c r="B36" s="498" t="s">
        <v>815</v>
      </c>
      <c r="C36" s="496">
        <f>'[20]2. Adjustment Detail'!G35</f>
        <v>0</v>
      </c>
      <c r="D36" s="496"/>
    </row>
    <row r="37" spans="1:5">
      <c r="A37" s="497">
        <v>374</v>
      </c>
      <c r="B37" s="498" t="s">
        <v>816</v>
      </c>
      <c r="C37" s="496"/>
      <c r="D37" s="496">
        <f>-'[20]2. Adjustment Detail'!G39</f>
        <v>3957</v>
      </c>
    </row>
    <row r="38" spans="1:5">
      <c r="A38" s="497">
        <v>375</v>
      </c>
      <c r="B38" s="498" t="s">
        <v>54</v>
      </c>
      <c r="C38" s="496">
        <f>'[20]2. Adjustment Detail'!G40</f>
        <v>1718</v>
      </c>
      <c r="D38" s="496"/>
    </row>
    <row r="39" spans="1:5">
      <c r="A39" s="497">
        <v>376</v>
      </c>
      <c r="B39" s="498" t="s">
        <v>817</v>
      </c>
      <c r="C39" s="496">
        <f>'[20]2. Adjustment Detail'!G41</f>
        <v>9309585</v>
      </c>
      <c r="D39" s="496"/>
    </row>
    <row r="40" spans="1:5">
      <c r="A40" s="497">
        <v>378</v>
      </c>
      <c r="B40" s="498" t="s">
        <v>1279</v>
      </c>
      <c r="C40" s="496">
        <f>'[20]2. Adjustment Detail'!G42</f>
        <v>192550</v>
      </c>
      <c r="D40" s="496"/>
    </row>
    <row r="41" spans="1:5">
      <c r="A41" s="497">
        <v>379</v>
      </c>
      <c r="B41" s="498" t="s">
        <v>1280</v>
      </c>
      <c r="C41" s="496">
        <f>'[20]2. Adjustment Detail'!G43</f>
        <v>159807</v>
      </c>
      <c r="D41" s="496"/>
    </row>
    <row r="42" spans="1:5">
      <c r="A42" s="497">
        <v>387</v>
      </c>
      <c r="B42" s="498" t="s">
        <v>815</v>
      </c>
      <c r="C42" s="496">
        <f>'[20]2. Adjustment Detail'!G44</f>
        <v>126375</v>
      </c>
      <c r="D42" s="496"/>
    </row>
    <row r="43" spans="1:5">
      <c r="A43" s="499"/>
      <c r="B43" s="500"/>
      <c r="C43" s="496"/>
      <c r="D43" s="496"/>
    </row>
    <row r="44" spans="1:5">
      <c r="A44" s="501"/>
      <c r="B44" s="502" t="s">
        <v>1268</v>
      </c>
      <c r="C44" s="503">
        <f>SUM(C17:C43)</f>
        <v>10854037</v>
      </c>
      <c r="D44" s="503">
        <f>SUM(D18:D43)</f>
        <v>12845047</v>
      </c>
    </row>
    <row r="45" spans="1:5">
      <c r="A45" s="501"/>
      <c r="B45" s="501"/>
      <c r="C45" s="501"/>
      <c r="D45" s="501"/>
    </row>
    <row r="46" spans="1:5" ht="15.75" thickBot="1">
      <c r="A46" s="501"/>
      <c r="B46" s="502" t="s">
        <v>1269</v>
      </c>
      <c r="C46" s="504">
        <f>IF(C44-D44&lt;=0,0,C44-D44)</f>
        <v>0</v>
      </c>
      <c r="D46" s="504">
        <f>IF(D44-C44&lt;=0,0,D44-C44)</f>
        <v>1991010</v>
      </c>
      <c r="E46" s="505"/>
    </row>
    <row r="47" spans="1:5" ht="15.75" thickTop="1"/>
    <row r="48" spans="1:5">
      <c r="C48" s="506"/>
    </row>
    <row r="50" spans="1:4">
      <c r="A50" s="501"/>
      <c r="B50" s="501"/>
      <c r="C50" s="501"/>
      <c r="D50" s="501"/>
    </row>
    <row r="51" spans="1:4">
      <c r="A51" s="507" t="s">
        <v>1270</v>
      </c>
      <c r="B51" s="482"/>
      <c r="C51" s="482"/>
      <c r="D51" s="482"/>
    </row>
    <row r="52" spans="1:4" ht="14.45" customHeight="1">
      <c r="A52" s="729" t="s">
        <v>1282</v>
      </c>
      <c r="B52" s="729"/>
      <c r="C52" s="729"/>
      <c r="D52" s="729"/>
    </row>
    <row r="53" spans="1:4" ht="29.25" customHeight="1">
      <c r="A53" s="729"/>
      <c r="B53" s="729"/>
      <c r="C53" s="729"/>
      <c r="D53" s="729"/>
    </row>
    <row r="54" spans="1:4">
      <c r="A54" s="299" t="s">
        <v>1290</v>
      </c>
    </row>
  </sheetData>
  <mergeCells count="4">
    <mergeCell ref="A1:D1"/>
    <mergeCell ref="A2:D2"/>
    <mergeCell ref="A3:D3"/>
    <mergeCell ref="A52:D53"/>
  </mergeCells>
  <dataValidations disablePrompts="1" count="2">
    <dataValidation type="list" allowBlank="1" showInputMessage="1" showErrorMessage="1" sqref="B8" xr:uid="{C9DB94D2-C64A-4D6E-B669-3D053A9BB8FC}">
      <formula1>"(Choose one),Income Statement,Rate Base"</formula1>
    </dataValidation>
    <dataValidation type="list" allowBlank="1" showInputMessage="1" showErrorMessage="1" sqref="A2:D2" xr:uid="{99869E0F-A99F-453C-B6E0-714D8F9C7716}">
      <formula1>"(CHOOSE ONE),INCOME STATEMENT PRO FORMA ADJUSTMENT, RATE BASE PRO FORMA ADJUSTMENT"</formula1>
    </dataValidation>
  </dataValidations>
  <hyperlinks>
    <hyperlink ref="A54" r:id="rId1" xr:uid="{8730C06D-885C-40DA-B934-098027AB3476}"/>
  </hyperlinks>
  <pageMargins left="0.7" right="0.7" top="0.75" bottom="0.75" header="0.3" footer="0.3"/>
  <pageSetup scale="54" orientation="portrait" r:id="rId2"/>
  <headerFooter>
    <oddFooter>&amp;R&amp;"Calibri,Bold"&amp;14 &amp;KFF00007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1611-547C-410A-A156-1EA5DAED7F4C}">
  <sheetPr>
    <pageSetUpPr fitToPage="1"/>
  </sheetPr>
  <dimension ref="A1:E57"/>
  <sheetViews>
    <sheetView topLeftCell="A39" workbookViewId="0">
      <selection activeCell="C2" sqref="C1:D2"/>
    </sheetView>
  </sheetViews>
  <sheetFormatPr defaultColWidth="9.42578125" defaultRowHeight="12.75"/>
  <cols>
    <col min="1" max="1" width="29" style="607" bestFit="1" customWidth="1"/>
    <col min="2" max="2" width="13.42578125" style="607" bestFit="1" customWidth="1"/>
    <col min="3" max="3" width="10.5703125" style="607" customWidth="1"/>
    <col min="4" max="4" width="13.42578125" style="607" bestFit="1" customWidth="1"/>
    <col min="5" max="16384" width="9.42578125" style="607"/>
  </cols>
  <sheetData>
    <row r="1" spans="1:4" customFormat="1" ht="12.75" customHeight="1">
      <c r="A1" s="603" t="s">
        <v>1314</v>
      </c>
      <c r="C1" t="s">
        <v>1072</v>
      </c>
      <c r="D1" s="299" t="s">
        <v>1337</v>
      </c>
    </row>
    <row r="2" spans="1:4" customFormat="1" ht="12.75" customHeight="1">
      <c r="A2" s="604" t="s">
        <v>1315</v>
      </c>
    </row>
    <row r="3" spans="1:4" customFormat="1" ht="12.75" customHeight="1">
      <c r="A3" s="604" t="s">
        <v>1316</v>
      </c>
    </row>
    <row r="4" spans="1:4" customFormat="1" ht="12.75" customHeight="1">
      <c r="A4" s="605" t="s">
        <v>1317</v>
      </c>
    </row>
    <row r="5" spans="1:4" customFormat="1" ht="15"/>
    <row r="6" spans="1:4">
      <c r="A6" s="606" t="s">
        <v>1318</v>
      </c>
      <c r="D6" s="608"/>
    </row>
    <row r="7" spans="1:4">
      <c r="A7" s="607" t="s">
        <v>1278</v>
      </c>
      <c r="B7" s="609">
        <v>211754534</v>
      </c>
    </row>
    <row r="8" spans="1:4">
      <c r="A8" s="607" t="s">
        <v>1319</v>
      </c>
      <c r="B8" s="609">
        <v>-46851090</v>
      </c>
    </row>
    <row r="9" spans="1:4" ht="13.5" thickBot="1">
      <c r="A9" s="607" t="s">
        <v>1320</v>
      </c>
      <c r="B9" s="610">
        <f>SUM(B7:B8)</f>
        <v>164903444</v>
      </c>
    </row>
    <row r="10" spans="1:4" ht="13.5" thickTop="1">
      <c r="D10" s="611"/>
    </row>
    <row r="11" spans="1:4">
      <c r="A11" s="607" t="s">
        <v>1321</v>
      </c>
      <c r="C11" s="612">
        <f>-ROUND(B8/B7,6)</f>
        <v>0.221252</v>
      </c>
      <c r="D11" s="611"/>
    </row>
    <row r="13" spans="1:4">
      <c r="A13" s="607" t="s">
        <v>1322</v>
      </c>
    </row>
    <row r="15" spans="1:4">
      <c r="A15" s="730" t="s">
        <v>1323</v>
      </c>
      <c r="B15" s="730"/>
      <c r="C15" s="730"/>
      <c r="D15" s="730"/>
    </row>
    <row r="16" spans="1:4">
      <c r="A16" s="731" t="s">
        <v>1324</v>
      </c>
      <c r="B16" s="731"/>
      <c r="C16" s="731"/>
      <c r="D16" s="731"/>
    </row>
    <row r="17" spans="1:5">
      <c r="A17" s="731" t="s">
        <v>1325</v>
      </c>
      <c r="B17" s="731"/>
      <c r="C17" s="731"/>
      <c r="D17" s="731"/>
    </row>
    <row r="18" spans="1:5">
      <c r="A18" s="731" t="s">
        <v>1326</v>
      </c>
      <c r="B18" s="731"/>
      <c r="C18" s="731"/>
      <c r="D18" s="731"/>
    </row>
    <row r="19" spans="1:5">
      <c r="A19" s="731" t="s">
        <v>1327</v>
      </c>
      <c r="B19" s="731"/>
      <c r="C19" s="731"/>
      <c r="D19" s="731"/>
    </row>
    <row r="21" spans="1:5">
      <c r="A21" s="606" t="s">
        <v>1328</v>
      </c>
      <c r="D21" s="608"/>
    </row>
    <row r="22" spans="1:5">
      <c r="A22" s="607" t="s">
        <v>1329</v>
      </c>
      <c r="B22" s="613">
        <v>37256</v>
      </c>
      <c r="D22" s="609">
        <f>ROUND(D24/0.77875,0)</f>
        <v>12841091</v>
      </c>
    </row>
    <row r="23" spans="1:5">
      <c r="A23" s="607" t="s">
        <v>1319</v>
      </c>
      <c r="B23" s="613">
        <v>37256</v>
      </c>
      <c r="D23" s="614">
        <f>D24-D22</f>
        <v>-2841091</v>
      </c>
    </row>
    <row r="24" spans="1:5" ht="13.5" thickBot="1">
      <c r="A24" s="607" t="s">
        <v>1330</v>
      </c>
      <c r="B24" s="613">
        <v>37256</v>
      </c>
      <c r="D24" s="615">
        <v>10000000</v>
      </c>
    </row>
    <row r="25" spans="1:5" ht="13.5" thickTop="1"/>
    <row r="26" spans="1:5" ht="13.5" thickBot="1">
      <c r="A26" s="606" t="s">
        <v>1328</v>
      </c>
      <c r="D26" s="608"/>
    </row>
    <row r="27" spans="1:5" ht="13.5" thickBot="1">
      <c r="A27" s="607" t="s">
        <v>1329</v>
      </c>
      <c r="B27" s="613">
        <v>40543</v>
      </c>
      <c r="C27" s="623" t="s">
        <v>41</v>
      </c>
      <c r="D27" s="616">
        <f>D22</f>
        <v>12841091</v>
      </c>
      <c r="E27" s="617" t="s">
        <v>1331</v>
      </c>
    </row>
    <row r="28" spans="1:5">
      <c r="B28" s="618"/>
    </row>
    <row r="29" spans="1:5">
      <c r="A29" s="607" t="s">
        <v>1332</v>
      </c>
      <c r="B29" s="613">
        <v>37256</v>
      </c>
      <c r="D29" s="611">
        <f>D23</f>
        <v>-2841091</v>
      </c>
    </row>
    <row r="30" spans="1:5">
      <c r="A30" s="607" t="s">
        <v>1332</v>
      </c>
      <c r="B30" s="613">
        <v>37621</v>
      </c>
      <c r="C30" s="612">
        <v>2.6700000000000002E-2</v>
      </c>
      <c r="D30" s="611">
        <f>-D$27*C30</f>
        <v>-342857.12969999999</v>
      </c>
    </row>
    <row r="31" spans="1:5">
      <c r="A31" s="607" t="s">
        <v>1332</v>
      </c>
      <c r="B31" s="613">
        <v>37986</v>
      </c>
      <c r="C31" s="612">
        <v>2.81E-2</v>
      </c>
      <c r="D31" s="611">
        <f>-D$27*C31</f>
        <v>-360834.65710000001</v>
      </c>
    </row>
    <row r="32" spans="1:5">
      <c r="A32" s="607" t="s">
        <v>1332</v>
      </c>
      <c r="B32" s="613">
        <v>38352</v>
      </c>
      <c r="C32" s="612">
        <v>2.93E-2</v>
      </c>
      <c r="D32" s="611">
        <f t="shared" ref="D32:D54" si="0">-D$27*C32</f>
        <v>-376243.96629999997</v>
      </c>
    </row>
    <row r="33" spans="1:4">
      <c r="A33" s="607" t="s">
        <v>1332</v>
      </c>
      <c r="B33" s="613">
        <v>38717</v>
      </c>
      <c r="C33" s="612">
        <v>3.0499999999999999E-2</v>
      </c>
      <c r="D33" s="611">
        <f t="shared" si="0"/>
        <v>-391653.27549999999</v>
      </c>
    </row>
    <row r="34" spans="1:4">
      <c r="A34" s="607" t="s">
        <v>1332</v>
      </c>
      <c r="B34" s="613">
        <v>39082</v>
      </c>
      <c r="C34" s="612">
        <v>3.2800000000000003E-2</v>
      </c>
      <c r="D34" s="611">
        <f t="shared" si="0"/>
        <v>-421187.78480000002</v>
      </c>
    </row>
    <row r="35" spans="1:4">
      <c r="A35" s="607" t="s">
        <v>1332</v>
      </c>
      <c r="B35" s="613">
        <v>39447</v>
      </c>
      <c r="C35" s="612">
        <v>2.7699999999999999E-2</v>
      </c>
      <c r="D35" s="611">
        <f t="shared" si="0"/>
        <v>-355698.22070000001</v>
      </c>
    </row>
    <row r="36" spans="1:4">
      <c r="A36" s="607" t="s">
        <v>1332</v>
      </c>
      <c r="B36" s="613">
        <v>39813</v>
      </c>
      <c r="C36" s="612">
        <v>2.76E-2</v>
      </c>
      <c r="D36" s="611">
        <f t="shared" si="0"/>
        <v>-354414.1116</v>
      </c>
    </row>
    <row r="37" spans="1:4">
      <c r="A37" s="607" t="s">
        <v>1332</v>
      </c>
      <c r="B37" s="613">
        <v>40178</v>
      </c>
      <c r="C37" s="612">
        <v>2.8299999999999999E-2</v>
      </c>
      <c r="D37" s="611">
        <f t="shared" si="0"/>
        <v>-363402.87529999996</v>
      </c>
    </row>
    <row r="38" spans="1:4">
      <c r="A38" s="607" t="s">
        <v>1332</v>
      </c>
      <c r="B38" s="613">
        <v>40543</v>
      </c>
      <c r="C38" s="612">
        <v>2.8299999999999999E-2</v>
      </c>
      <c r="D38" s="611">
        <f t="shared" si="0"/>
        <v>-363402.87529999996</v>
      </c>
    </row>
    <row r="39" spans="1:4">
      <c r="A39" s="607" t="s">
        <v>1332</v>
      </c>
      <c r="B39" s="613">
        <v>40908</v>
      </c>
      <c r="C39" s="612">
        <v>3.32E-2</v>
      </c>
      <c r="D39" s="611">
        <f t="shared" si="0"/>
        <v>-426324.22120000003</v>
      </c>
    </row>
    <row r="40" spans="1:4">
      <c r="A40" s="607" t="s">
        <v>1332</v>
      </c>
      <c r="B40" s="613">
        <v>41274</v>
      </c>
      <c r="C40" s="612">
        <v>2.69E-2</v>
      </c>
      <c r="D40" s="611">
        <f t="shared" si="0"/>
        <v>-345425.34789999999</v>
      </c>
    </row>
    <row r="41" spans="1:4">
      <c r="A41" s="607" t="s">
        <v>1332</v>
      </c>
      <c r="B41" s="613">
        <v>41639</v>
      </c>
      <c r="C41" s="612">
        <v>2.63E-2</v>
      </c>
      <c r="D41" s="611">
        <f t="shared" si="0"/>
        <v>-337720.69329999998</v>
      </c>
    </row>
    <row r="42" spans="1:4">
      <c r="A42" s="607" t="s">
        <v>1332</v>
      </c>
      <c r="B42" s="613">
        <v>42004</v>
      </c>
      <c r="C42" s="612">
        <v>2.6499999999999999E-2</v>
      </c>
      <c r="D42" s="611">
        <f t="shared" si="0"/>
        <v>-340288.91149999999</v>
      </c>
    </row>
    <row r="43" spans="1:4">
      <c r="A43" s="607" t="s">
        <v>1332</v>
      </c>
      <c r="B43" s="613">
        <v>42369</v>
      </c>
      <c r="C43" s="612">
        <v>2.6800000000000001E-2</v>
      </c>
      <c r="D43" s="611">
        <f t="shared" si="0"/>
        <v>-344141.23879999999</v>
      </c>
    </row>
    <row r="44" spans="1:4">
      <c r="A44" s="607" t="s">
        <v>1332</v>
      </c>
      <c r="B44" s="613">
        <v>42735</v>
      </c>
      <c r="C44" s="612">
        <v>2.6599999999999999E-2</v>
      </c>
      <c r="D44" s="611">
        <f t="shared" si="0"/>
        <v>-341573.02059999999</v>
      </c>
    </row>
    <row r="45" spans="1:4">
      <c r="A45" s="607" t="s">
        <v>1332</v>
      </c>
      <c r="B45" s="613">
        <v>43100</v>
      </c>
      <c r="C45" s="612">
        <v>2.64E-2</v>
      </c>
      <c r="D45" s="611">
        <f t="shared" si="0"/>
        <v>-339004.80239999999</v>
      </c>
    </row>
    <row r="46" spans="1:4">
      <c r="A46" s="607" t="s">
        <v>1332</v>
      </c>
      <c r="B46" s="613">
        <v>43465</v>
      </c>
      <c r="C46" s="612">
        <v>2.5999999999999999E-2</v>
      </c>
      <c r="D46" s="611">
        <f t="shared" si="0"/>
        <v>-333868.36599999998</v>
      </c>
    </row>
    <row r="47" spans="1:4">
      <c r="A47" s="607" t="s">
        <v>1332</v>
      </c>
      <c r="B47" s="613">
        <v>43830</v>
      </c>
      <c r="C47" s="612">
        <v>2.6200000000000001E-2</v>
      </c>
      <c r="D47" s="611">
        <f t="shared" si="0"/>
        <v>-336436.58420000004</v>
      </c>
    </row>
    <row r="48" spans="1:4">
      <c r="A48" s="607" t="s">
        <v>1332</v>
      </c>
      <c r="B48" s="613">
        <v>44196</v>
      </c>
      <c r="C48" s="612">
        <v>2.63E-2</v>
      </c>
      <c r="D48" s="611">
        <f t="shared" si="0"/>
        <v>-337720.69329999998</v>
      </c>
    </row>
    <row r="49" spans="1:5">
      <c r="A49" s="607" t="s">
        <v>1332</v>
      </c>
      <c r="B49" s="613">
        <v>44561</v>
      </c>
      <c r="C49" s="612">
        <v>2.6700000000000002E-2</v>
      </c>
      <c r="D49" s="611">
        <f t="shared" si="0"/>
        <v>-342857.12969999999</v>
      </c>
    </row>
    <row r="50" spans="1:5">
      <c r="A50" s="607" t="s">
        <v>1332</v>
      </c>
      <c r="B50" s="613">
        <v>44926</v>
      </c>
      <c r="C50" s="612">
        <v>2.64E-2</v>
      </c>
      <c r="D50" s="611">
        <f t="shared" si="0"/>
        <v>-339004.80239999999</v>
      </c>
    </row>
    <row r="51" spans="1:5">
      <c r="A51" s="607" t="s">
        <v>1332</v>
      </c>
      <c r="B51" s="613">
        <v>45291</v>
      </c>
      <c r="C51" s="612">
        <v>2.6599999999999999E-2</v>
      </c>
      <c r="D51" s="611">
        <f t="shared" si="0"/>
        <v>-341573.02059999999</v>
      </c>
    </row>
    <row r="52" spans="1:5">
      <c r="A52" s="607" t="s">
        <v>1332</v>
      </c>
      <c r="B52" s="613">
        <v>45473</v>
      </c>
      <c r="C52" s="612">
        <v>2.7E-2</v>
      </c>
      <c r="D52" s="611">
        <f>-D$27*C52/2</f>
        <v>-173354.7285</v>
      </c>
    </row>
    <row r="53" spans="1:5">
      <c r="A53" s="607" t="s">
        <v>1332</v>
      </c>
      <c r="B53" s="613">
        <v>45838</v>
      </c>
      <c r="C53" s="619">
        <v>2.7400000000000001E-2</v>
      </c>
      <c r="D53" s="611">
        <f t="shared" si="0"/>
        <v>-351845.8934</v>
      </c>
    </row>
    <row r="54" spans="1:5" ht="13.5" thickBot="1">
      <c r="A54" s="607" t="s">
        <v>1332</v>
      </c>
      <c r="B54" s="613">
        <v>46203</v>
      </c>
      <c r="C54" s="619">
        <v>2.7300000000000001E-2</v>
      </c>
      <c r="D54" s="611">
        <f t="shared" si="0"/>
        <v>-350561.7843</v>
      </c>
    </row>
    <row r="55" spans="1:5" ht="13.5" thickBot="1">
      <c r="A55" s="607" t="s">
        <v>1333</v>
      </c>
      <c r="B55" s="613"/>
      <c r="C55" s="620"/>
      <c r="D55" s="616">
        <f>SUM(D29:D54)</f>
        <v>-11552487.134400003</v>
      </c>
      <c r="E55" s="617" t="s">
        <v>1334</v>
      </c>
    </row>
    <row r="56" spans="1:5" ht="13.5" thickBot="1"/>
    <row r="57" spans="1:5" ht="13.5" thickBot="1">
      <c r="C57" s="621" t="s">
        <v>1330</v>
      </c>
      <c r="D57" s="622">
        <f>SUM(D27,D55)</f>
        <v>1288603.8655999973</v>
      </c>
      <c r="E57" s="617" t="s">
        <v>1335</v>
      </c>
    </row>
  </sheetData>
  <mergeCells count="5">
    <mergeCell ref="A15:D15"/>
    <mergeCell ref="A16:D16"/>
    <mergeCell ref="A17:D17"/>
    <mergeCell ref="A18:D18"/>
    <mergeCell ref="A19:D19"/>
  </mergeCells>
  <hyperlinks>
    <hyperlink ref="D1" r:id="rId1" xr:uid="{92B364B6-E7CA-49DB-8D56-960FDA31C1F7}"/>
  </hyperlinks>
  <pageMargins left="0.7" right="0.7" top="0.75" bottom="0.75" header="0.3" footer="0.3"/>
  <pageSetup scale="54" orientation="portrait" horizontalDpi="1200" verticalDpi="1200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7033A-3D09-425B-BC31-FC794D360B45}">
  <sheetPr>
    <pageSetUpPr fitToPage="1"/>
  </sheetPr>
  <dimension ref="A1:J40"/>
  <sheetViews>
    <sheetView topLeftCell="A19" zoomScaleNormal="100" workbookViewId="0">
      <selection activeCell="B24" sqref="B24"/>
    </sheetView>
  </sheetViews>
  <sheetFormatPr defaultColWidth="8.5703125" defaultRowHeight="11.25"/>
  <cols>
    <col min="1" max="1" width="12" style="626" bestFit="1" customWidth="1"/>
    <col min="2" max="2" width="46.140625" style="626" bestFit="1" customWidth="1"/>
    <col min="3" max="3" width="1.5703125" style="626" customWidth="1"/>
    <col min="4" max="4" width="20.5703125" style="626" bestFit="1" customWidth="1"/>
    <col min="5" max="5" width="27.42578125" style="626" bestFit="1" customWidth="1"/>
    <col min="6" max="6" width="12.85546875" style="626" bestFit="1" customWidth="1"/>
    <col min="7" max="7" width="1.5703125" style="626" customWidth="1"/>
    <col min="8" max="8" width="17" style="626" bestFit="1" customWidth="1"/>
    <col min="9" max="9" width="23.85546875" style="626" bestFit="1" customWidth="1"/>
    <col min="10" max="10" width="18.42578125" style="626" bestFit="1" customWidth="1"/>
    <col min="11" max="16384" width="8.5703125" style="626"/>
  </cols>
  <sheetData>
    <row r="1" spans="1:10" customFormat="1" ht="15">
      <c r="A1" s="603" t="s">
        <v>1314</v>
      </c>
      <c r="D1" s="626"/>
      <c r="E1" s="626"/>
    </row>
    <row r="2" spans="1:10" customFormat="1" ht="15">
      <c r="A2" s="604" t="s">
        <v>1315</v>
      </c>
    </row>
    <row r="3" spans="1:10" customFormat="1" ht="15">
      <c r="A3" s="604" t="s">
        <v>1316</v>
      </c>
    </row>
    <row r="4" spans="1:10" customFormat="1" ht="15">
      <c r="A4" s="605" t="s">
        <v>1338</v>
      </c>
    </row>
    <row r="5" spans="1:10" customFormat="1" ht="15"/>
    <row r="6" spans="1:10">
      <c r="A6" s="625" t="s">
        <v>1339</v>
      </c>
      <c r="B6" s="625" t="s">
        <v>1340</v>
      </c>
      <c r="C6" s="625"/>
      <c r="D6" s="625" t="s">
        <v>1341</v>
      </c>
      <c r="E6" s="625" t="s">
        <v>1342</v>
      </c>
      <c r="F6" s="625" t="s">
        <v>1343</v>
      </c>
      <c r="G6" s="625"/>
      <c r="H6" s="625" t="s">
        <v>1344</v>
      </c>
      <c r="I6" s="625" t="s">
        <v>1345</v>
      </c>
      <c r="J6" s="625" t="s">
        <v>1346</v>
      </c>
    </row>
    <row r="7" spans="1:10">
      <c r="A7" s="627"/>
      <c r="B7" s="627"/>
      <c r="C7" s="627"/>
      <c r="D7" s="628">
        <v>0.80691000000000002</v>
      </c>
      <c r="E7" s="628">
        <f>1-D7</f>
        <v>0.19308999999999998</v>
      </c>
      <c r="F7" s="627"/>
      <c r="G7" s="627"/>
      <c r="H7" s="628">
        <v>0.80691000000000002</v>
      </c>
      <c r="I7" s="628">
        <f>1-H7</f>
        <v>0.19308999999999998</v>
      </c>
      <c r="J7" s="627"/>
    </row>
    <row r="8" spans="1:10">
      <c r="A8" s="629" t="s">
        <v>867</v>
      </c>
      <c r="B8" s="629" t="s">
        <v>1347</v>
      </c>
      <c r="C8" s="627"/>
      <c r="D8" s="627">
        <f>$D$7*F8</f>
        <v>3327244.1231445004</v>
      </c>
      <c r="E8" s="627">
        <f>$E$7*F8</f>
        <v>796194.8268555</v>
      </c>
      <c r="F8" s="627">
        <v>4123438.95</v>
      </c>
      <c r="G8" s="627"/>
      <c r="H8" s="627">
        <f>$H$7*J8</f>
        <v>1292780.7136412999</v>
      </c>
      <c r="I8" s="627">
        <f>$I$7*J8</f>
        <v>309356.71635869995</v>
      </c>
      <c r="J8" s="627">
        <v>1602137.43</v>
      </c>
    </row>
    <row r="9" spans="1:10" ht="12" thickBot="1">
      <c r="A9" s="629" t="s">
        <v>873</v>
      </c>
      <c r="B9" s="629" t="s">
        <v>1348</v>
      </c>
      <c r="C9" s="627"/>
      <c r="D9" s="630">
        <f>$D$7*F9</f>
        <v>1078864.9914042002</v>
      </c>
      <c r="E9" s="627">
        <f>$E$7*F9</f>
        <v>258167.62859579999</v>
      </c>
      <c r="F9" s="627">
        <v>1337032.6200000001</v>
      </c>
      <c r="G9" s="627"/>
      <c r="H9" s="630">
        <f>$H$7*J9</f>
        <v>336064.6445013</v>
      </c>
      <c r="I9" s="627">
        <f>$I$7*J9</f>
        <v>80418.785498699988</v>
      </c>
      <c r="J9" s="627">
        <v>416483.43</v>
      </c>
    </row>
    <row r="10" spans="1:10" ht="12" thickBot="1">
      <c r="A10" s="631"/>
      <c r="B10" s="631"/>
      <c r="C10" s="631"/>
      <c r="D10" s="632">
        <f>SUM(D8:D9)</f>
        <v>4406109.1145487009</v>
      </c>
      <c r="E10" s="633">
        <f>SUM(E8:E9)</f>
        <v>1054362.4554512999</v>
      </c>
      <c r="F10" s="634">
        <f>SUM(F8:F9)</f>
        <v>5460471.5700000003</v>
      </c>
      <c r="G10" s="634"/>
      <c r="H10" s="632">
        <f>SUM(H8:H9)</f>
        <v>1628845.3581425999</v>
      </c>
      <c r="I10" s="633">
        <f>SUM(I8:I9)</f>
        <v>389775.50185739994</v>
      </c>
      <c r="J10" s="635">
        <f>SUM(J8:J9)</f>
        <v>2018620.8599999999</v>
      </c>
    </row>
    <row r="11" spans="1:10">
      <c r="D11" s="636" t="s">
        <v>1331</v>
      </c>
      <c r="H11" s="636" t="s">
        <v>1334</v>
      </c>
    </row>
    <row r="13" spans="1:10" ht="15">
      <c r="A13" t="s">
        <v>1072</v>
      </c>
      <c r="B13" s="299" t="s">
        <v>1337</v>
      </c>
    </row>
    <row r="40" ht="14.45" customHeight="1"/>
  </sheetData>
  <dataValidations count="2">
    <dataValidation type="list" allowBlank="1" showInputMessage="1" showErrorMessage="1" sqref="A2:D2" xr:uid="{008D8FB3-4DCA-4D60-9E6D-D292EFC4306A}">
      <formula1>"(CHOOSE ONE),INCOME STATEMENT PRO FORMA ADJUSTMENT, RATE BASE PRO FORMA ADJUSTMENT"</formula1>
    </dataValidation>
    <dataValidation type="list" allowBlank="1" showInputMessage="1" showErrorMessage="1" sqref="B8" xr:uid="{461A8E84-01E3-4A95-AEAB-169EC4B163F5}">
      <formula1>"(Choose one),Income Statement,Rate Base"</formula1>
    </dataValidation>
  </dataValidations>
  <hyperlinks>
    <hyperlink ref="B13" r:id="rId1" xr:uid="{8EB3E6B4-ECB4-4560-833A-9FC38FBA2B52}"/>
  </hyperlinks>
  <pageMargins left="0.7" right="0.7" top="0.75" bottom="0.75" header="0.3" footer="0.3"/>
  <pageSetup scale="59" fitToHeight="0" orientation="landscape" horizontalDpi="1200" verticalDpi="1200" r:id="rId2"/>
  <headerFooter>
    <oddFooter>&amp;R&amp;14 &amp;KFF00008</oddFoot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28C1-089A-4BE7-A3E5-374484532B57}">
  <sheetPr>
    <pageSetUpPr fitToPage="1"/>
  </sheetPr>
  <dimension ref="A1:F41"/>
  <sheetViews>
    <sheetView zoomScaleNormal="100" workbookViewId="0">
      <selection activeCell="E35" sqref="E35"/>
    </sheetView>
  </sheetViews>
  <sheetFormatPr defaultColWidth="15.85546875" defaultRowHeight="11.25"/>
  <cols>
    <col min="1" max="16384" width="15.85546875" style="626"/>
  </cols>
  <sheetData>
    <row r="1" spans="1:6" customFormat="1" ht="15">
      <c r="A1" s="603" t="s">
        <v>1314</v>
      </c>
      <c r="B1" s="626"/>
      <c r="E1" t="s">
        <v>70</v>
      </c>
    </row>
    <row r="2" spans="1:6" customFormat="1" ht="15">
      <c r="A2" s="604" t="s">
        <v>1315</v>
      </c>
      <c r="B2" s="626"/>
    </row>
    <row r="3" spans="1:6" customFormat="1" ht="15">
      <c r="A3" s="604" t="s">
        <v>1316</v>
      </c>
      <c r="B3" s="626"/>
    </row>
    <row r="4" spans="1:6" customFormat="1" ht="15">
      <c r="A4" s="605" t="s">
        <v>1349</v>
      </c>
      <c r="B4" s="626"/>
    </row>
    <row r="5" spans="1:6" customFormat="1" ht="15"/>
    <row r="6" spans="1:6">
      <c r="A6" s="625" t="s">
        <v>241</v>
      </c>
      <c r="B6" s="625" t="s">
        <v>746</v>
      </c>
      <c r="C6" s="625" t="s">
        <v>311</v>
      </c>
      <c r="D6" s="625" t="s">
        <v>1350</v>
      </c>
      <c r="E6" s="625" t="s">
        <v>1351</v>
      </c>
      <c r="F6" s="625" t="s">
        <v>378</v>
      </c>
    </row>
    <row r="7" spans="1:6">
      <c r="A7" s="629" t="s">
        <v>1065</v>
      </c>
      <c r="B7" s="629" t="s">
        <v>1352</v>
      </c>
      <c r="C7" s="629" t="s">
        <v>1353</v>
      </c>
      <c r="D7" s="637">
        <v>3421024.9</v>
      </c>
      <c r="E7" s="637">
        <v>1624046.54</v>
      </c>
      <c r="F7" s="627">
        <v>1796978.36</v>
      </c>
    </row>
    <row r="8" spans="1:6">
      <c r="A8" s="629" t="s">
        <v>1066</v>
      </c>
      <c r="B8" s="629" t="s">
        <v>1352</v>
      </c>
      <c r="C8" s="629" t="s">
        <v>1353</v>
      </c>
      <c r="D8" s="637">
        <v>2443601.15</v>
      </c>
      <c r="E8" s="637">
        <v>962275.79</v>
      </c>
      <c r="F8" s="627">
        <v>1481325.36</v>
      </c>
    </row>
    <row r="9" spans="1:6">
      <c r="A9" s="629" t="s">
        <v>1034</v>
      </c>
      <c r="B9" s="629" t="s">
        <v>1352</v>
      </c>
      <c r="C9" s="629" t="s">
        <v>1353</v>
      </c>
      <c r="D9" s="637">
        <v>12609.37</v>
      </c>
      <c r="E9" s="637">
        <v>8553.7099999999991</v>
      </c>
      <c r="F9" s="627">
        <v>4055.66</v>
      </c>
    </row>
    <row r="10" spans="1:6">
      <c r="A10" s="629" t="s">
        <v>1066</v>
      </c>
      <c r="B10" s="629" t="s">
        <v>1352</v>
      </c>
      <c r="C10" s="629" t="s">
        <v>1353</v>
      </c>
      <c r="D10" s="637">
        <v>0</v>
      </c>
      <c r="E10" s="637">
        <v>0</v>
      </c>
      <c r="F10" s="627">
        <v>0</v>
      </c>
    </row>
    <row r="11" spans="1:6">
      <c r="A11" s="629" t="s">
        <v>1063</v>
      </c>
      <c r="B11" s="629" t="s">
        <v>1352</v>
      </c>
      <c r="C11" s="629" t="s">
        <v>1353</v>
      </c>
      <c r="D11" s="637">
        <v>10075.42</v>
      </c>
      <c r="E11" s="637">
        <v>4614.67</v>
      </c>
      <c r="F11" s="627">
        <v>5460.75</v>
      </c>
    </row>
    <row r="12" spans="1:6" ht="12" thickBot="1">
      <c r="A12" s="629" t="s">
        <v>1067</v>
      </c>
      <c r="B12" s="629" t="s">
        <v>1352</v>
      </c>
      <c r="C12" s="629" t="s">
        <v>1353</v>
      </c>
      <c r="D12" s="638">
        <v>183581.23</v>
      </c>
      <c r="E12" s="638">
        <v>164024.5</v>
      </c>
      <c r="F12" s="627">
        <v>19556.73</v>
      </c>
    </row>
    <row r="13" spans="1:6" ht="12" thickBot="1">
      <c r="A13" s="631"/>
      <c r="B13" s="631"/>
      <c r="C13" s="631"/>
      <c r="D13" s="632">
        <f>SUBTOTAL(9,D7:D12)</f>
        <v>6070892.0700000003</v>
      </c>
      <c r="E13" s="632">
        <f t="shared" ref="E13:F13" si="0">SUBTOTAL(9,E7:E12)</f>
        <v>2763515.21</v>
      </c>
      <c r="F13" s="632">
        <f t="shared" si="0"/>
        <v>3307376.8600000003</v>
      </c>
    </row>
    <row r="14" spans="1:6">
      <c r="D14" s="636" t="s">
        <v>1331</v>
      </c>
      <c r="E14" s="636" t="s">
        <v>1334</v>
      </c>
      <c r="F14" s="636" t="s">
        <v>1335</v>
      </c>
    </row>
    <row r="19" spans="1:2" ht="15">
      <c r="A19" t="s">
        <v>1072</v>
      </c>
      <c r="B19" s="299" t="s">
        <v>1337</v>
      </c>
    </row>
    <row r="20" spans="1:2" ht="15">
      <c r="A20"/>
      <c r="B20"/>
    </row>
    <row r="41" ht="14.45" customHeight="1"/>
  </sheetData>
  <dataValidations count="2">
    <dataValidation type="list" allowBlank="1" showInputMessage="1" showErrorMessage="1" sqref="B8" xr:uid="{15EBB099-649D-4BE2-9060-39B7E31DEC03}">
      <formula1>"(Choose one),Income Statement,Rate Base"</formula1>
    </dataValidation>
    <dataValidation type="list" allowBlank="1" showInputMessage="1" showErrorMessage="1" sqref="A2:D2 A20" xr:uid="{EF6DC8C5-6B69-4929-A48C-978D7669BC3F}">
      <formula1>"(CHOOSE ONE),INCOME STATEMENT PRO FORMA ADJUSTMENT, RATE BASE PRO FORMA ADJUSTMENT"</formula1>
    </dataValidation>
  </dataValidations>
  <hyperlinks>
    <hyperlink ref="B19" r:id="rId1" xr:uid="{854471CD-280A-4401-BC67-7B8C150D9189}"/>
  </hyperlinks>
  <pageMargins left="0.7" right="0.7" top="0.75" bottom="0.75" header="0.3" footer="0.3"/>
  <pageSetup scale="86" orientation="landscape" r:id="rId2"/>
  <headerFooter>
    <oddFooter>&amp;R&amp;14 &amp;KFF00009</oddFoot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7BB5-852F-4317-89CC-9F1E0395EBDA}">
  <sheetPr>
    <pageSetUpPr fitToPage="1"/>
  </sheetPr>
  <dimension ref="A1:C58"/>
  <sheetViews>
    <sheetView topLeftCell="A30" workbookViewId="0">
      <selection activeCell="C41" sqref="C41"/>
    </sheetView>
  </sheetViews>
  <sheetFormatPr defaultColWidth="9.140625" defaultRowHeight="12"/>
  <cols>
    <col min="1" max="1" width="28" style="690" bestFit="1" customWidth="1"/>
    <col min="2" max="2" width="15.42578125" style="690" bestFit="1" customWidth="1"/>
    <col min="3" max="3" width="18.140625" style="690" customWidth="1"/>
    <col min="4" max="16384" width="9.140625" style="690"/>
  </cols>
  <sheetData>
    <row r="1" spans="1:3">
      <c r="A1" s="689" t="s">
        <v>1314</v>
      </c>
    </row>
    <row r="2" spans="1:3">
      <c r="A2" s="689" t="s">
        <v>1408</v>
      </c>
    </row>
    <row r="4" spans="1:3">
      <c r="A4" s="691" t="s">
        <v>1404</v>
      </c>
      <c r="B4" s="691"/>
      <c r="C4" s="692"/>
    </row>
    <row r="5" spans="1:3" ht="24">
      <c r="A5" s="693" t="s">
        <v>241</v>
      </c>
      <c r="B5" s="693" t="s">
        <v>412</v>
      </c>
      <c r="C5" s="694" t="s">
        <v>1407</v>
      </c>
    </row>
    <row r="6" spans="1:3">
      <c r="A6" s="695" t="s">
        <v>1024</v>
      </c>
      <c r="B6" s="690" t="s">
        <v>861</v>
      </c>
      <c r="C6" s="696">
        <v>-6746.53</v>
      </c>
    </row>
    <row r="7" spans="1:3">
      <c r="A7" s="695"/>
      <c r="B7" s="690" t="s">
        <v>862</v>
      </c>
      <c r="C7" s="696">
        <v>-3009.41</v>
      </c>
    </row>
    <row r="8" spans="1:3">
      <c r="A8" s="697" t="s">
        <v>1025</v>
      </c>
      <c r="B8" s="690" t="s">
        <v>865</v>
      </c>
      <c r="C8" s="696">
        <v>-246.11</v>
      </c>
    </row>
    <row r="9" spans="1:3">
      <c r="A9" s="697" t="s">
        <v>1026</v>
      </c>
      <c r="B9" s="690" t="s">
        <v>869</v>
      </c>
      <c r="C9" s="696">
        <v>-872050.22</v>
      </c>
    </row>
    <row r="10" spans="1:3">
      <c r="A10" s="697" t="s">
        <v>1027</v>
      </c>
      <c r="B10" s="690" t="s">
        <v>872</v>
      </c>
      <c r="C10" s="696">
        <v>-17388.21</v>
      </c>
    </row>
    <row r="11" spans="1:3">
      <c r="A11" s="697" t="s">
        <v>1028</v>
      </c>
      <c r="B11" s="690" t="s">
        <v>875</v>
      </c>
      <c r="C11" s="696">
        <v>-4664.07</v>
      </c>
    </row>
    <row r="12" spans="1:3">
      <c r="A12" s="697" t="s">
        <v>1029</v>
      </c>
      <c r="B12" s="690" t="s">
        <v>878</v>
      </c>
      <c r="C12" s="696">
        <v>-481842.03</v>
      </c>
    </row>
    <row r="13" spans="1:3">
      <c r="A13" s="697" t="s">
        <v>1030</v>
      </c>
      <c r="B13" s="690" t="s">
        <v>882</v>
      </c>
      <c r="C13" s="696">
        <v>-433386.30000000005</v>
      </c>
    </row>
    <row r="14" spans="1:3">
      <c r="A14" s="697" t="s">
        <v>1031</v>
      </c>
      <c r="B14" s="690" t="s">
        <v>883</v>
      </c>
      <c r="C14" s="696">
        <v>-128666.98</v>
      </c>
    </row>
    <row r="15" spans="1:3">
      <c r="A15" s="697" t="s">
        <v>1034</v>
      </c>
      <c r="B15" s="690" t="s">
        <v>892</v>
      </c>
      <c r="C15" s="696">
        <v>-73685.070000000007</v>
      </c>
    </row>
    <row r="16" spans="1:3">
      <c r="A16" s="695" t="s">
        <v>1039</v>
      </c>
      <c r="B16" s="690" t="s">
        <v>913</v>
      </c>
      <c r="C16" s="696">
        <v>-3321.06</v>
      </c>
    </row>
    <row r="17" spans="1:3">
      <c r="A17" s="695"/>
      <c r="B17" s="690" t="s">
        <v>918</v>
      </c>
      <c r="C17" s="696">
        <v>-44058.99</v>
      </c>
    </row>
    <row r="18" spans="1:3">
      <c r="A18" s="697"/>
      <c r="B18" s="690" t="s">
        <v>922</v>
      </c>
      <c r="C18" s="696">
        <v>-942.19</v>
      </c>
    </row>
    <row r="19" spans="1:3">
      <c r="A19" s="695" t="s">
        <v>1040</v>
      </c>
      <c r="B19" s="690" t="s">
        <v>996</v>
      </c>
      <c r="C19" s="696">
        <v>-111590.19</v>
      </c>
    </row>
    <row r="20" spans="1:3">
      <c r="A20" s="695"/>
      <c r="B20" s="690" t="s">
        <v>1001</v>
      </c>
      <c r="C20" s="696">
        <v>-6042.16</v>
      </c>
    </row>
    <row r="21" spans="1:3">
      <c r="A21" s="695"/>
      <c r="B21" s="690" t="s">
        <v>1002</v>
      </c>
      <c r="C21" s="696">
        <v>-29880.9</v>
      </c>
    </row>
    <row r="22" spans="1:3">
      <c r="A22" s="695"/>
      <c r="B22" s="690" t="s">
        <v>1006</v>
      </c>
      <c r="C22" s="696">
        <v>-9019.36</v>
      </c>
    </row>
    <row r="23" spans="1:3">
      <c r="A23" s="695"/>
      <c r="B23" s="690" t="s">
        <v>1007</v>
      </c>
      <c r="C23" s="696">
        <v>-6215.39</v>
      </c>
    </row>
    <row r="24" spans="1:3">
      <c r="A24" s="695"/>
      <c r="B24" s="690" t="s">
        <v>1009</v>
      </c>
      <c r="C24" s="696">
        <v>-5170.1000000000004</v>
      </c>
    </row>
    <row r="25" spans="1:3">
      <c r="A25" s="695"/>
      <c r="B25" s="690" t="s">
        <v>1010</v>
      </c>
      <c r="C25" s="696">
        <v>-37340.17</v>
      </c>
    </row>
    <row r="26" spans="1:3">
      <c r="A26" s="695"/>
      <c r="B26" s="690" t="s">
        <v>1012</v>
      </c>
      <c r="C26" s="696">
        <v>-2857.81</v>
      </c>
    </row>
    <row r="27" spans="1:3">
      <c r="A27" s="695"/>
      <c r="B27" s="690" t="s">
        <v>1013</v>
      </c>
      <c r="C27" s="696">
        <v>-3423.63</v>
      </c>
    </row>
    <row r="28" spans="1:3">
      <c r="A28" s="695"/>
      <c r="B28" s="690" t="s">
        <v>1014</v>
      </c>
      <c r="C28" s="696">
        <v>-5133.72</v>
      </c>
    </row>
    <row r="29" spans="1:3">
      <c r="A29" s="697"/>
      <c r="B29" s="690" t="s">
        <v>1015</v>
      </c>
      <c r="C29" s="696">
        <v>-1387.47</v>
      </c>
    </row>
    <row r="30" spans="1:3">
      <c r="A30" s="695" t="s">
        <v>1041</v>
      </c>
      <c r="B30" s="690" t="s">
        <v>928</v>
      </c>
      <c r="C30" s="696">
        <v>-82729.100000000006</v>
      </c>
    </row>
    <row r="31" spans="1:3">
      <c r="A31" s="695"/>
      <c r="B31" s="690" t="s">
        <v>929</v>
      </c>
      <c r="C31" s="696">
        <v>-59210.19</v>
      </c>
    </row>
    <row r="32" spans="1:3">
      <c r="A32" s="695"/>
      <c r="B32" s="690" t="s">
        <v>930</v>
      </c>
      <c r="C32" s="696">
        <v>-87884.95</v>
      </c>
    </row>
    <row r="33" spans="1:3">
      <c r="A33" s="695"/>
      <c r="B33" s="690" t="s">
        <v>933</v>
      </c>
      <c r="C33" s="696">
        <v>-25697.21</v>
      </c>
    </row>
    <row r="34" spans="1:3">
      <c r="A34" s="697"/>
      <c r="B34" s="690" t="s">
        <v>934</v>
      </c>
      <c r="C34" s="696">
        <v>-11961.11</v>
      </c>
    </row>
    <row r="35" spans="1:3">
      <c r="A35" s="697" t="s">
        <v>1042</v>
      </c>
      <c r="B35" s="690" t="s">
        <v>939</v>
      </c>
      <c r="C35" s="696">
        <v>-2145.16</v>
      </c>
    </row>
    <row r="36" spans="1:3">
      <c r="A36" s="695" t="s">
        <v>1043</v>
      </c>
      <c r="B36" s="690" t="s">
        <v>952</v>
      </c>
      <c r="C36" s="696">
        <v>-24634.69</v>
      </c>
    </row>
    <row r="37" spans="1:3">
      <c r="A37" s="695"/>
      <c r="B37" s="690" t="s">
        <v>953</v>
      </c>
      <c r="C37" s="696">
        <v>-3175.94</v>
      </c>
    </row>
    <row r="38" spans="1:3">
      <c r="A38" s="695"/>
      <c r="B38" s="690" t="s">
        <v>954</v>
      </c>
      <c r="C38" s="696">
        <v>-87808.31</v>
      </c>
    </row>
    <row r="39" spans="1:3">
      <c r="A39" s="695" t="s">
        <v>70</v>
      </c>
      <c r="B39" s="690" t="s">
        <v>955</v>
      </c>
      <c r="C39" s="696">
        <v>-15380.93</v>
      </c>
    </row>
    <row r="40" spans="1:3">
      <c r="A40" s="695"/>
      <c r="B40" s="690" t="s">
        <v>957</v>
      </c>
      <c r="C40" s="696">
        <v>-42520.17</v>
      </c>
    </row>
    <row r="41" spans="1:3">
      <c r="A41" s="695"/>
      <c r="B41" s="690" t="s">
        <v>958</v>
      </c>
      <c r="C41" s="696">
        <v>-75668.98</v>
      </c>
    </row>
    <row r="42" spans="1:3">
      <c r="A42" s="695"/>
      <c r="B42" s="690" t="s">
        <v>959</v>
      </c>
      <c r="C42" s="696">
        <v>-61574.22</v>
      </c>
    </row>
    <row r="43" spans="1:3">
      <c r="A43" s="695"/>
      <c r="B43" s="690" t="s">
        <v>960</v>
      </c>
      <c r="C43" s="696">
        <v>-14138.42</v>
      </c>
    </row>
    <row r="44" spans="1:3">
      <c r="A44" s="697"/>
      <c r="B44" s="690" t="s">
        <v>961</v>
      </c>
      <c r="C44" s="696">
        <v>-35974.78</v>
      </c>
    </row>
    <row r="45" spans="1:3">
      <c r="A45" s="695" t="s">
        <v>1044</v>
      </c>
      <c r="B45" s="690" t="s">
        <v>966</v>
      </c>
      <c r="C45" s="696">
        <v>-810.65</v>
      </c>
    </row>
    <row r="46" spans="1:3">
      <c r="A46" s="695"/>
      <c r="B46" s="690" t="s">
        <v>970</v>
      </c>
      <c r="C46" s="696">
        <v>-6148.43</v>
      </c>
    </row>
    <row r="47" spans="1:3">
      <c r="A47" s="697"/>
      <c r="B47" s="690" t="s">
        <v>971</v>
      </c>
      <c r="C47" s="696">
        <v>-403.37</v>
      </c>
    </row>
    <row r="48" spans="1:3">
      <c r="A48" s="695" t="s">
        <v>1045</v>
      </c>
      <c r="B48" s="690" t="s">
        <v>977</v>
      </c>
      <c r="C48" s="696">
        <v>-15713.22</v>
      </c>
    </row>
    <row r="49" spans="1:3">
      <c r="A49" s="695"/>
      <c r="B49" s="690" t="s">
        <v>978</v>
      </c>
      <c r="C49" s="696">
        <v>-6390.33</v>
      </c>
    </row>
    <row r="50" spans="1:3">
      <c r="A50" s="695"/>
      <c r="B50" s="690" t="s">
        <v>979</v>
      </c>
      <c r="C50" s="696">
        <v>-7171.24</v>
      </c>
    </row>
    <row r="51" spans="1:3">
      <c r="A51" s="697"/>
      <c r="B51" s="690" t="s">
        <v>982</v>
      </c>
      <c r="C51" s="696">
        <v>-10685.27</v>
      </c>
    </row>
    <row r="52" spans="1:3">
      <c r="A52" s="695" t="s">
        <v>1046</v>
      </c>
      <c r="B52" s="690" t="s">
        <v>984</v>
      </c>
      <c r="C52" s="696">
        <v>-29885.360000000001</v>
      </c>
    </row>
    <row r="53" spans="1:3">
      <c r="A53" s="695" t="s">
        <v>1053</v>
      </c>
      <c r="B53" s="690" t="s">
        <v>987</v>
      </c>
      <c r="C53" s="696">
        <v>-2573.52</v>
      </c>
    </row>
    <row r="54" spans="1:3">
      <c r="A54" s="695"/>
      <c r="B54" s="690" t="s">
        <v>988</v>
      </c>
      <c r="C54" s="696">
        <v>-9486.91</v>
      </c>
    </row>
    <row r="55" spans="1:3">
      <c r="A55" s="695"/>
      <c r="B55" s="690" t="s">
        <v>990</v>
      </c>
      <c r="C55" s="696">
        <v>-5173.1099999999997</v>
      </c>
    </row>
    <row r="56" spans="1:3">
      <c r="A56" s="695"/>
      <c r="B56" s="690" t="s">
        <v>991</v>
      </c>
      <c r="C56" s="696">
        <v>-5191.6099999999997</v>
      </c>
    </row>
    <row r="57" spans="1:3">
      <c r="A57" s="697"/>
      <c r="B57" s="690" t="s">
        <v>994</v>
      </c>
      <c r="C57" s="696">
        <v>-2781.26</v>
      </c>
    </row>
    <row r="58" spans="1:3">
      <c r="A58" s="698" t="s">
        <v>78</v>
      </c>
      <c r="B58" s="698"/>
      <c r="C58" s="699">
        <f>SUM(C6:C57)</f>
        <v>-3020986.5100000012</v>
      </c>
    </row>
  </sheetData>
  <autoFilter ref="A5:C58" xr:uid="{4D7E7BB5-852F-4317-89CC-9F1E0395EBDA}"/>
  <phoneticPr fontId="61" type="noConversion"/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7C12-3BAB-4C01-B772-247EB66F0146}">
  <dimension ref="A1:O68"/>
  <sheetViews>
    <sheetView topLeftCell="A31" workbookViewId="0">
      <selection activeCell="O28" sqref="O28"/>
    </sheetView>
  </sheetViews>
  <sheetFormatPr defaultColWidth="9.140625" defaultRowHeight="15"/>
  <cols>
    <col min="1" max="1" width="35.28515625" style="685" bestFit="1" customWidth="1"/>
    <col min="2" max="13" width="15.85546875" style="680" bestFit="1" customWidth="1"/>
    <col min="14" max="14" width="13.5703125" style="681" bestFit="1" customWidth="1"/>
    <col min="15" max="15" width="14.28515625" style="681" bestFit="1" customWidth="1"/>
    <col min="16" max="16384" width="9.140625" style="680"/>
  </cols>
  <sheetData>
    <row r="1" spans="1:15">
      <c r="A1" s="679" t="s">
        <v>869</v>
      </c>
    </row>
    <row r="2" spans="1:15" s="684" customFormat="1">
      <c r="A2" s="679" t="s">
        <v>1384</v>
      </c>
      <c r="B2" s="682">
        <v>45839</v>
      </c>
      <c r="C2" s="682">
        <v>45870</v>
      </c>
      <c r="D2" s="682">
        <v>45901</v>
      </c>
      <c r="E2" s="682">
        <v>45931</v>
      </c>
      <c r="F2" s="682">
        <v>45962</v>
      </c>
      <c r="G2" s="682">
        <v>45992</v>
      </c>
      <c r="H2" s="682">
        <v>46023</v>
      </c>
      <c r="I2" s="682">
        <v>46054</v>
      </c>
      <c r="J2" s="682">
        <v>46082</v>
      </c>
      <c r="K2" s="682">
        <v>46113</v>
      </c>
      <c r="L2" s="682">
        <v>46143</v>
      </c>
      <c r="M2" s="682">
        <v>46174</v>
      </c>
      <c r="N2" s="683"/>
      <c r="O2" s="683"/>
    </row>
    <row r="3" spans="1:15">
      <c r="A3" s="685" t="s">
        <v>1385</v>
      </c>
      <c r="B3" s="686">
        <v>254613859.34999999</v>
      </c>
      <c r="C3" s="686">
        <v>255230746.36000001</v>
      </c>
      <c r="D3" s="686">
        <v>255665900.28999999</v>
      </c>
      <c r="E3" s="686">
        <v>256465954.02000001</v>
      </c>
      <c r="F3" s="686">
        <v>257243621.13999999</v>
      </c>
      <c r="G3" s="686">
        <v>257971457.12</v>
      </c>
      <c r="H3" s="686">
        <v>257962934.43000001</v>
      </c>
      <c r="I3" s="686">
        <v>258609336.09999999</v>
      </c>
      <c r="J3" s="686">
        <v>259513818.55000001</v>
      </c>
      <c r="K3" s="686">
        <v>260557691.78999999</v>
      </c>
      <c r="L3" s="686">
        <v>261113305.49000001</v>
      </c>
      <c r="M3" s="686">
        <v>261081059.69</v>
      </c>
    </row>
    <row r="4" spans="1:15">
      <c r="A4" s="685" t="s">
        <v>244</v>
      </c>
      <c r="B4" s="686">
        <v>650098.09</v>
      </c>
      <c r="C4" s="686">
        <v>482405.69</v>
      </c>
      <c r="D4" s="686">
        <v>867683.33</v>
      </c>
      <c r="E4" s="686">
        <v>808955.3</v>
      </c>
      <c r="F4" s="686">
        <v>1068426.1499999999</v>
      </c>
      <c r="G4" s="686">
        <v>365212.87</v>
      </c>
      <c r="H4" s="686">
        <v>699897.54</v>
      </c>
      <c r="I4" s="686">
        <v>997942.72</v>
      </c>
      <c r="J4" s="686">
        <v>1182027.72</v>
      </c>
      <c r="K4" s="686">
        <v>671747.46</v>
      </c>
      <c r="L4" s="686">
        <v>-6448.86</v>
      </c>
      <c r="M4" s="686">
        <v>531470.18999999994</v>
      </c>
    </row>
    <row r="5" spans="1:15">
      <c r="A5" s="685" t="s">
        <v>245</v>
      </c>
      <c r="B5" s="686">
        <v>-33211.08</v>
      </c>
      <c r="C5" s="686">
        <v>-47251.76</v>
      </c>
      <c r="D5" s="686">
        <v>-67629.600000000006</v>
      </c>
      <c r="E5" s="686">
        <v>-31288.18</v>
      </c>
      <c r="F5" s="686">
        <v>-340590.17</v>
      </c>
      <c r="G5" s="686">
        <v>-373735.56</v>
      </c>
      <c r="H5" s="686">
        <v>-53495.87</v>
      </c>
      <c r="I5" s="686">
        <v>-93460.27</v>
      </c>
      <c r="J5" s="686">
        <v>-138154.48000000001</v>
      </c>
      <c r="K5" s="686">
        <v>-116133.75999999999</v>
      </c>
      <c r="L5" s="686">
        <v>-25796.94</v>
      </c>
      <c r="M5" s="686">
        <v>-224711.83</v>
      </c>
    </row>
    <row r="6" spans="1:15">
      <c r="A6" s="685" t="s">
        <v>1386</v>
      </c>
      <c r="B6" s="686">
        <v>0</v>
      </c>
      <c r="C6" s="686">
        <v>0</v>
      </c>
      <c r="D6" s="686">
        <v>0</v>
      </c>
      <c r="E6" s="686">
        <v>0</v>
      </c>
      <c r="F6" s="686">
        <v>0</v>
      </c>
      <c r="G6" s="686">
        <v>0</v>
      </c>
      <c r="H6" s="686">
        <v>0</v>
      </c>
      <c r="I6" s="686">
        <v>0</v>
      </c>
      <c r="J6" s="686">
        <v>0</v>
      </c>
      <c r="K6" s="686">
        <v>0</v>
      </c>
      <c r="L6" s="686">
        <v>0</v>
      </c>
      <c r="M6" s="686">
        <v>0</v>
      </c>
    </row>
    <row r="7" spans="1:15">
      <c r="A7" s="685" t="s">
        <v>1387</v>
      </c>
      <c r="B7" s="686">
        <v>0</v>
      </c>
      <c r="C7" s="686">
        <v>0</v>
      </c>
      <c r="D7" s="686">
        <v>0</v>
      </c>
      <c r="E7" s="686">
        <v>0</v>
      </c>
      <c r="F7" s="686">
        <v>0</v>
      </c>
      <c r="G7" s="686">
        <v>0</v>
      </c>
      <c r="H7" s="686">
        <v>0</v>
      </c>
      <c r="I7" s="686">
        <v>0</v>
      </c>
      <c r="J7" s="686">
        <v>0</v>
      </c>
      <c r="K7" s="686">
        <v>0</v>
      </c>
      <c r="L7" s="686">
        <v>0</v>
      </c>
      <c r="M7" s="686">
        <v>0</v>
      </c>
    </row>
    <row r="8" spans="1:15">
      <c r="A8" s="685" t="s">
        <v>247</v>
      </c>
      <c r="B8" s="686">
        <v>0</v>
      </c>
      <c r="C8" s="686">
        <v>0</v>
      </c>
      <c r="D8" s="686">
        <v>0</v>
      </c>
      <c r="E8" s="686">
        <v>0</v>
      </c>
      <c r="F8" s="686">
        <v>0</v>
      </c>
      <c r="G8" s="686">
        <v>0</v>
      </c>
      <c r="H8" s="686">
        <v>0</v>
      </c>
      <c r="I8" s="686">
        <v>0</v>
      </c>
      <c r="J8" s="686">
        <v>0</v>
      </c>
      <c r="K8" s="686">
        <v>0</v>
      </c>
      <c r="L8" s="686">
        <v>0</v>
      </c>
      <c r="M8" s="686">
        <v>0</v>
      </c>
    </row>
    <row r="9" spans="1:15">
      <c r="A9" s="685" t="s">
        <v>1388</v>
      </c>
      <c r="B9" s="686">
        <v>255230746.36000001</v>
      </c>
      <c r="C9" s="686">
        <v>255665900.28999999</v>
      </c>
      <c r="D9" s="686">
        <v>256465954.02000001</v>
      </c>
      <c r="E9" s="686">
        <v>257243621.13999999</v>
      </c>
      <c r="F9" s="686">
        <v>257971457.12</v>
      </c>
      <c r="G9" s="686">
        <v>257962934.43000001</v>
      </c>
      <c r="H9" s="686">
        <v>258609336.09999999</v>
      </c>
      <c r="I9" s="686">
        <v>259513818.55000001</v>
      </c>
      <c r="J9" s="686">
        <v>260557691.78999999</v>
      </c>
      <c r="K9" s="686">
        <v>261113305.49000001</v>
      </c>
      <c r="L9" s="686">
        <v>261081059.69</v>
      </c>
      <c r="M9" s="686">
        <v>261387818.05000001</v>
      </c>
    </row>
    <row r="10" spans="1:15">
      <c r="A10" s="685" t="s">
        <v>1389</v>
      </c>
      <c r="B10" s="686">
        <v>103770277.92</v>
      </c>
      <c r="C10" s="686">
        <v>104152607.78</v>
      </c>
      <c r="D10" s="686">
        <v>104539602.90000001</v>
      </c>
      <c r="E10" s="686">
        <v>104893378.04000001</v>
      </c>
      <c r="F10" s="686">
        <v>105282564.73999999</v>
      </c>
      <c r="G10" s="686">
        <v>105376397.63</v>
      </c>
      <c r="H10" s="686">
        <v>105393516.58</v>
      </c>
      <c r="I10" s="686">
        <v>105777367.51000001</v>
      </c>
      <c r="J10" s="686">
        <v>106079808.58</v>
      </c>
      <c r="K10" s="686">
        <v>106366594.15000001</v>
      </c>
      <c r="L10" s="686">
        <v>106701843.63</v>
      </c>
      <c r="M10" s="686">
        <v>105046467.97</v>
      </c>
    </row>
    <row r="11" spans="1:15">
      <c r="A11" s="685" t="s">
        <v>1390</v>
      </c>
      <c r="B11" s="686">
        <v>254922302.86000001</v>
      </c>
      <c r="C11" s="686">
        <v>255448323.33000001</v>
      </c>
      <c r="D11" s="686">
        <v>256065927.16</v>
      </c>
      <c r="E11" s="686">
        <v>256854787.58000001</v>
      </c>
      <c r="F11" s="686">
        <v>257607539.13</v>
      </c>
      <c r="G11" s="686">
        <v>257967195.78</v>
      </c>
      <c r="H11" s="686">
        <v>258286135.27000001</v>
      </c>
      <c r="I11" s="686">
        <v>259061577.33000001</v>
      </c>
      <c r="J11" s="686">
        <v>260035755.16999999</v>
      </c>
      <c r="K11" s="686">
        <v>260835498.63999999</v>
      </c>
      <c r="L11" s="686">
        <v>261097182.59</v>
      </c>
      <c r="M11" s="686">
        <v>261234438.87</v>
      </c>
    </row>
    <row r="12" spans="1:15">
      <c r="A12" s="685" t="s">
        <v>1391</v>
      </c>
      <c r="B12" s="687">
        <v>2.0899999999999998E-2</v>
      </c>
      <c r="C12" s="687">
        <v>2.0899999999999998E-2</v>
      </c>
      <c r="D12" s="687">
        <v>2.0899999999999998E-2</v>
      </c>
      <c r="E12" s="687">
        <v>2.0899999999999998E-2</v>
      </c>
      <c r="F12" s="687">
        <v>2.0899999999999998E-2</v>
      </c>
      <c r="G12" s="687">
        <v>2.0899999999999998E-2</v>
      </c>
      <c r="H12" s="687">
        <v>2.0899999999999998E-2</v>
      </c>
      <c r="I12" s="687">
        <v>2.0899999999999998E-2</v>
      </c>
      <c r="J12" s="687">
        <v>2.12E-2</v>
      </c>
      <c r="K12" s="687">
        <v>2.12E-2</v>
      </c>
      <c r="L12" s="687">
        <v>2.12E-2</v>
      </c>
      <c r="M12" s="687">
        <v>2.12E-2</v>
      </c>
    </row>
    <row r="13" spans="1:15">
      <c r="A13" s="685" t="s">
        <v>1392</v>
      </c>
      <c r="B13" s="686">
        <v>443989.68</v>
      </c>
      <c r="C13" s="686">
        <v>444905.83</v>
      </c>
      <c r="D13" s="686">
        <v>445981.49</v>
      </c>
      <c r="E13" s="686">
        <v>447355.42</v>
      </c>
      <c r="F13" s="686">
        <v>448666.46</v>
      </c>
      <c r="G13" s="686">
        <v>449292.86</v>
      </c>
      <c r="H13" s="686">
        <v>449848.36</v>
      </c>
      <c r="I13" s="686">
        <v>451198.92</v>
      </c>
      <c r="J13" s="686">
        <v>459396.5</v>
      </c>
      <c r="K13" s="686">
        <v>460809.38</v>
      </c>
      <c r="L13" s="686">
        <v>461271.69</v>
      </c>
      <c r="M13" s="686">
        <v>461514.18</v>
      </c>
    </row>
    <row r="14" spans="1:15">
      <c r="A14" s="685" t="s">
        <v>1393</v>
      </c>
      <c r="B14" s="686">
        <v>0</v>
      </c>
      <c r="C14" s="686">
        <v>0</v>
      </c>
      <c r="D14" s="686">
        <v>0</v>
      </c>
      <c r="E14" s="686">
        <v>0</v>
      </c>
      <c r="F14" s="686">
        <v>0</v>
      </c>
      <c r="G14" s="686">
        <v>0</v>
      </c>
      <c r="H14" s="686">
        <v>0</v>
      </c>
      <c r="I14" s="686">
        <v>0</v>
      </c>
      <c r="J14" s="686">
        <v>0</v>
      </c>
      <c r="K14" s="686">
        <v>0</v>
      </c>
      <c r="L14" s="686">
        <v>0</v>
      </c>
      <c r="M14" s="686">
        <v>0</v>
      </c>
    </row>
    <row r="15" spans="1:15">
      <c r="A15" s="685" t="s">
        <v>1394</v>
      </c>
      <c r="B15" s="686">
        <v>0</v>
      </c>
      <c r="C15" s="686">
        <v>0</v>
      </c>
      <c r="D15" s="686">
        <v>0</v>
      </c>
      <c r="E15" s="686">
        <v>0</v>
      </c>
      <c r="F15" s="686">
        <v>0</v>
      </c>
      <c r="G15" s="686">
        <v>0</v>
      </c>
      <c r="H15" s="686">
        <v>0</v>
      </c>
      <c r="I15" s="686">
        <v>0</v>
      </c>
      <c r="J15" s="686">
        <v>0</v>
      </c>
      <c r="K15" s="686">
        <v>0</v>
      </c>
      <c r="L15" s="686">
        <v>0</v>
      </c>
      <c r="M15" s="686">
        <v>0</v>
      </c>
    </row>
    <row r="16" spans="1:15">
      <c r="A16" s="685" t="s">
        <v>1395</v>
      </c>
      <c r="B16" s="686">
        <v>0</v>
      </c>
      <c r="C16" s="686">
        <v>0</v>
      </c>
      <c r="D16" s="686">
        <v>0</v>
      </c>
      <c r="E16" s="686">
        <v>0</v>
      </c>
      <c r="F16" s="686">
        <v>0</v>
      </c>
      <c r="G16" s="686">
        <v>0</v>
      </c>
      <c r="H16" s="686">
        <v>0</v>
      </c>
      <c r="I16" s="686">
        <v>0</v>
      </c>
      <c r="J16" s="686">
        <v>0</v>
      </c>
      <c r="K16" s="686">
        <v>0</v>
      </c>
      <c r="L16" s="686">
        <v>0</v>
      </c>
      <c r="M16" s="686">
        <v>0</v>
      </c>
    </row>
    <row r="17" spans="1:15">
      <c r="J17" s="686">
        <f>J13-$I$13</f>
        <v>8197.5800000000163</v>
      </c>
      <c r="K17" s="686">
        <f t="shared" ref="K17:M17" si="0">K13-$I$13</f>
        <v>9610.460000000021</v>
      </c>
      <c r="L17" s="686">
        <f t="shared" si="0"/>
        <v>10072.770000000019</v>
      </c>
      <c r="M17" s="686">
        <f t="shared" si="0"/>
        <v>10315.260000000009</v>
      </c>
      <c r="N17" s="681">
        <f>SUM(J17:M17)</f>
        <v>38196.070000000065</v>
      </c>
    </row>
    <row r="18" spans="1:15">
      <c r="A18" s="679" t="s">
        <v>878</v>
      </c>
      <c r="N18" s="681" t="s">
        <v>70</v>
      </c>
      <c r="O18" s="681" t="s">
        <v>70</v>
      </c>
    </row>
    <row r="19" spans="1:15">
      <c r="A19" s="679" t="s">
        <v>1384</v>
      </c>
      <c r="B19" s="682">
        <v>45839</v>
      </c>
      <c r="C19" s="682">
        <v>45870</v>
      </c>
      <c r="D19" s="682">
        <v>45901</v>
      </c>
      <c r="E19" s="682">
        <v>45931</v>
      </c>
      <c r="F19" s="682">
        <v>45962</v>
      </c>
      <c r="G19" s="682">
        <v>45992</v>
      </c>
      <c r="H19" s="682">
        <v>46023</v>
      </c>
      <c r="I19" s="682">
        <v>46054</v>
      </c>
      <c r="J19" s="682">
        <v>46082</v>
      </c>
      <c r="K19" s="682">
        <v>46113</v>
      </c>
      <c r="L19" s="682">
        <v>46143</v>
      </c>
      <c r="M19" s="682">
        <v>46174</v>
      </c>
    </row>
    <row r="20" spans="1:15">
      <c r="A20" s="685" t="s">
        <v>1385</v>
      </c>
      <c r="B20" s="686">
        <v>186168774.96000001</v>
      </c>
      <c r="C20" s="686">
        <v>187048884.12</v>
      </c>
      <c r="D20" s="686">
        <v>188383800.41999999</v>
      </c>
      <c r="E20" s="686">
        <v>188958607.41</v>
      </c>
      <c r="F20" s="686">
        <v>189631317.71000001</v>
      </c>
      <c r="G20" s="686">
        <v>190461369.93000001</v>
      </c>
      <c r="H20" s="686">
        <v>191122945.03999999</v>
      </c>
      <c r="I20" s="686">
        <v>191999879.77000001</v>
      </c>
      <c r="J20" s="686">
        <v>192646544.09999999</v>
      </c>
      <c r="K20" s="686">
        <v>193654227.77000001</v>
      </c>
      <c r="L20" s="686">
        <v>194403885.22999999</v>
      </c>
      <c r="M20" s="686">
        <v>194656638.02000001</v>
      </c>
    </row>
    <row r="21" spans="1:15">
      <c r="A21" s="685" t="s">
        <v>244</v>
      </c>
      <c r="B21" s="686">
        <v>957787.6</v>
      </c>
      <c r="C21" s="686">
        <v>1339322.6299999999</v>
      </c>
      <c r="D21" s="686">
        <v>854578.29</v>
      </c>
      <c r="E21" s="686">
        <v>711438.39</v>
      </c>
      <c r="F21" s="686">
        <v>830389.05</v>
      </c>
      <c r="G21" s="686">
        <v>890441.9</v>
      </c>
      <c r="H21" s="686">
        <v>876934.73</v>
      </c>
      <c r="I21" s="686">
        <v>648381.14</v>
      </c>
      <c r="J21" s="686">
        <v>1007683.67</v>
      </c>
      <c r="K21" s="686">
        <v>969167.48</v>
      </c>
      <c r="L21" s="686">
        <v>603997.68999999994</v>
      </c>
      <c r="M21" s="686">
        <v>1248185.5900000001</v>
      </c>
    </row>
    <row r="22" spans="1:15">
      <c r="A22" s="685" t="s">
        <v>245</v>
      </c>
      <c r="B22" s="686">
        <v>-77678.44</v>
      </c>
      <c r="C22" s="686">
        <v>-4406.33</v>
      </c>
      <c r="D22" s="686">
        <v>-279771.3</v>
      </c>
      <c r="E22" s="686">
        <v>-38728.089999999997</v>
      </c>
      <c r="F22" s="686">
        <v>-336.83</v>
      </c>
      <c r="G22" s="686">
        <v>-228866.79</v>
      </c>
      <c r="H22" s="686">
        <v>0</v>
      </c>
      <c r="I22" s="686">
        <v>-1716.81</v>
      </c>
      <c r="J22" s="686">
        <v>0</v>
      </c>
      <c r="K22" s="686">
        <v>-219510.02</v>
      </c>
      <c r="L22" s="686">
        <v>-351244.9</v>
      </c>
      <c r="M22" s="686">
        <v>-19.05</v>
      </c>
    </row>
    <row r="23" spans="1:15">
      <c r="A23" s="685" t="s">
        <v>1386</v>
      </c>
      <c r="B23" s="686">
        <v>0</v>
      </c>
      <c r="C23" s="686">
        <v>0</v>
      </c>
      <c r="D23" s="686">
        <v>0</v>
      </c>
      <c r="E23" s="686">
        <v>0</v>
      </c>
      <c r="F23" s="686">
        <v>0</v>
      </c>
      <c r="G23" s="686">
        <v>0</v>
      </c>
      <c r="H23" s="686">
        <v>0</v>
      </c>
      <c r="I23" s="686">
        <v>0</v>
      </c>
      <c r="J23" s="686">
        <v>0</v>
      </c>
      <c r="K23" s="686">
        <v>0</v>
      </c>
      <c r="L23" s="686">
        <v>0</v>
      </c>
      <c r="M23" s="686">
        <v>0</v>
      </c>
    </row>
    <row r="24" spans="1:15">
      <c r="A24" s="685" t="s">
        <v>1387</v>
      </c>
      <c r="B24" s="686">
        <v>0</v>
      </c>
      <c r="C24" s="686">
        <v>0</v>
      </c>
      <c r="D24" s="686">
        <v>0</v>
      </c>
      <c r="E24" s="686">
        <v>0</v>
      </c>
      <c r="F24" s="686">
        <v>0</v>
      </c>
      <c r="G24" s="686">
        <v>0</v>
      </c>
      <c r="H24" s="686">
        <v>0</v>
      </c>
      <c r="I24" s="686">
        <v>0</v>
      </c>
      <c r="J24" s="686">
        <v>0</v>
      </c>
      <c r="K24" s="686">
        <v>0</v>
      </c>
      <c r="L24" s="686">
        <v>0</v>
      </c>
      <c r="M24" s="686">
        <v>0</v>
      </c>
    </row>
    <row r="25" spans="1:15">
      <c r="A25" s="685" t="s">
        <v>247</v>
      </c>
      <c r="B25" s="686">
        <v>0</v>
      </c>
      <c r="C25" s="686">
        <v>0</v>
      </c>
      <c r="D25" s="686">
        <v>0</v>
      </c>
      <c r="E25" s="686">
        <v>0</v>
      </c>
      <c r="F25" s="686">
        <v>0</v>
      </c>
      <c r="G25" s="686">
        <v>0</v>
      </c>
      <c r="H25" s="686">
        <v>0</v>
      </c>
      <c r="I25" s="686">
        <v>0</v>
      </c>
      <c r="J25" s="686">
        <v>0</v>
      </c>
      <c r="K25" s="686">
        <v>0</v>
      </c>
      <c r="L25" s="686">
        <v>0</v>
      </c>
      <c r="M25" s="686">
        <v>0</v>
      </c>
    </row>
    <row r="26" spans="1:15">
      <c r="A26" s="685" t="s">
        <v>1388</v>
      </c>
      <c r="B26" s="686">
        <v>187048884.12</v>
      </c>
      <c r="C26" s="686">
        <v>188383800.41999999</v>
      </c>
      <c r="D26" s="686">
        <v>188958607.41</v>
      </c>
      <c r="E26" s="686">
        <v>189631317.71000001</v>
      </c>
      <c r="F26" s="686">
        <v>190461369.93000001</v>
      </c>
      <c r="G26" s="686">
        <v>191122945.03999999</v>
      </c>
      <c r="H26" s="686">
        <v>191999879.77000001</v>
      </c>
      <c r="I26" s="686">
        <v>192646544.09999999</v>
      </c>
      <c r="J26" s="686">
        <v>193654227.77000001</v>
      </c>
      <c r="K26" s="686">
        <v>194403885.22999999</v>
      </c>
      <c r="L26" s="686">
        <v>194656638.02000001</v>
      </c>
      <c r="M26" s="686">
        <v>195904804.56</v>
      </c>
    </row>
    <row r="27" spans="1:15">
      <c r="A27" s="685" t="s">
        <v>1396</v>
      </c>
      <c r="B27" s="686">
        <v>74723347.230000004</v>
      </c>
      <c r="C27" s="686">
        <v>75077446.810000002</v>
      </c>
      <c r="D27" s="686">
        <v>75516536.370000005</v>
      </c>
      <c r="E27" s="686">
        <v>75658456.579999998</v>
      </c>
      <c r="F27" s="686">
        <v>76056941.349999994</v>
      </c>
      <c r="G27" s="686">
        <v>76506721.120000005</v>
      </c>
      <c r="H27" s="686">
        <v>76704257.859999999</v>
      </c>
      <c r="I27" s="686">
        <v>77158870.109999999</v>
      </c>
      <c r="J27" s="686">
        <v>77605062.909999996</v>
      </c>
      <c r="K27" s="686">
        <v>77972404.629999995</v>
      </c>
      <c r="L27" s="686">
        <v>78111409.099999994</v>
      </c>
      <c r="M27" s="686">
        <v>81468166.390000001</v>
      </c>
    </row>
    <row r="28" spans="1:15">
      <c r="A28" s="685" t="s">
        <v>1397</v>
      </c>
      <c r="B28" s="686">
        <v>186608829.53999999</v>
      </c>
      <c r="C28" s="686">
        <v>187716342.27000001</v>
      </c>
      <c r="D28" s="686">
        <v>188671203.91999999</v>
      </c>
      <c r="E28" s="686">
        <v>189294962.56</v>
      </c>
      <c r="F28" s="686">
        <v>190046343.81999999</v>
      </c>
      <c r="G28" s="686">
        <v>190792157.49000001</v>
      </c>
      <c r="H28" s="686">
        <v>191561412.41</v>
      </c>
      <c r="I28" s="686">
        <v>192323211.94</v>
      </c>
      <c r="J28" s="686">
        <v>193150385.94</v>
      </c>
      <c r="K28" s="686">
        <v>194029056.5</v>
      </c>
      <c r="L28" s="686">
        <v>194530261.63</v>
      </c>
      <c r="M28" s="686">
        <v>195280721.28999999</v>
      </c>
    </row>
    <row r="29" spans="1:15">
      <c r="A29" s="685" t="s">
        <v>1398</v>
      </c>
      <c r="B29" s="687">
        <v>2.8500000000000001E-2</v>
      </c>
      <c r="C29" s="687">
        <v>2.8500000000000001E-2</v>
      </c>
      <c r="D29" s="687">
        <v>2.8500000000000001E-2</v>
      </c>
      <c r="E29" s="687">
        <v>2.8500000000000001E-2</v>
      </c>
      <c r="F29" s="687">
        <v>2.8500000000000001E-2</v>
      </c>
      <c r="G29" s="687">
        <v>2.8500000000000001E-2</v>
      </c>
      <c r="H29" s="687">
        <v>2.8500000000000001E-2</v>
      </c>
      <c r="I29" s="687">
        <v>2.8500000000000001E-2</v>
      </c>
      <c r="J29" s="687">
        <v>2.3E-2</v>
      </c>
      <c r="K29" s="687">
        <v>2.3E-2</v>
      </c>
      <c r="L29" s="687">
        <v>2.3E-2</v>
      </c>
      <c r="M29" s="687">
        <v>2.3E-2</v>
      </c>
    </row>
    <row r="30" spans="1:15">
      <c r="A30" s="685" t="s">
        <v>1399</v>
      </c>
      <c r="B30" s="686">
        <v>443195.97</v>
      </c>
      <c r="C30" s="686">
        <v>445826.31</v>
      </c>
      <c r="D30" s="686">
        <v>448094.11</v>
      </c>
      <c r="E30" s="686">
        <v>449575.53</v>
      </c>
      <c r="F30" s="686">
        <v>451360.07</v>
      </c>
      <c r="G30" s="686">
        <v>453131.38</v>
      </c>
      <c r="H30" s="686">
        <v>454958.35</v>
      </c>
      <c r="I30" s="686">
        <v>456767.63</v>
      </c>
      <c r="J30" s="686">
        <v>370204.9</v>
      </c>
      <c r="K30" s="686">
        <v>371889.03</v>
      </c>
      <c r="L30" s="686">
        <v>372849.67</v>
      </c>
      <c r="M30" s="686">
        <v>374288.05</v>
      </c>
    </row>
    <row r="31" spans="1:15">
      <c r="A31" s="685" t="s">
        <v>1400</v>
      </c>
      <c r="B31" s="686">
        <v>0</v>
      </c>
      <c r="C31" s="686">
        <v>0</v>
      </c>
      <c r="D31" s="686">
        <v>0</v>
      </c>
      <c r="E31" s="686">
        <v>0</v>
      </c>
      <c r="F31" s="686">
        <v>0</v>
      </c>
      <c r="G31" s="686">
        <v>0</v>
      </c>
      <c r="H31" s="686">
        <v>0</v>
      </c>
      <c r="I31" s="686">
        <v>0</v>
      </c>
      <c r="J31" s="686">
        <v>0</v>
      </c>
      <c r="K31" s="686">
        <v>0</v>
      </c>
      <c r="L31" s="686">
        <v>0</v>
      </c>
      <c r="M31" s="686">
        <v>0</v>
      </c>
    </row>
    <row r="32" spans="1:15">
      <c r="A32" s="685" t="s">
        <v>1401</v>
      </c>
      <c r="B32" s="686">
        <v>0</v>
      </c>
      <c r="C32" s="686">
        <v>0</v>
      </c>
      <c r="D32" s="686">
        <v>0</v>
      </c>
      <c r="E32" s="686">
        <v>0</v>
      </c>
      <c r="F32" s="686">
        <v>0</v>
      </c>
      <c r="G32" s="686">
        <v>0</v>
      </c>
      <c r="H32" s="686">
        <v>0</v>
      </c>
      <c r="I32" s="686">
        <v>0</v>
      </c>
      <c r="J32" s="686">
        <v>0</v>
      </c>
      <c r="K32" s="686">
        <v>0</v>
      </c>
      <c r="L32" s="686">
        <v>0</v>
      </c>
      <c r="M32" s="686">
        <v>0</v>
      </c>
      <c r="O32" s="681" t="s">
        <v>70</v>
      </c>
    </row>
    <row r="33" spans="1:14">
      <c r="A33" s="685" t="s">
        <v>1395</v>
      </c>
      <c r="B33" s="686">
        <v>0</v>
      </c>
      <c r="C33" s="686">
        <v>0</v>
      </c>
      <c r="D33" s="686">
        <v>0</v>
      </c>
      <c r="E33" s="686">
        <v>0</v>
      </c>
      <c r="F33" s="686">
        <v>0</v>
      </c>
      <c r="G33" s="686">
        <v>0</v>
      </c>
      <c r="H33" s="686">
        <v>0</v>
      </c>
      <c r="I33" s="686">
        <v>0</v>
      </c>
      <c r="J33" s="686">
        <v>0</v>
      </c>
      <c r="K33" s="686">
        <v>0</v>
      </c>
      <c r="L33" s="686">
        <v>0</v>
      </c>
      <c r="M33" s="686">
        <v>0</v>
      </c>
    </row>
    <row r="34" spans="1:14">
      <c r="B34" s="686"/>
      <c r="C34" s="686"/>
      <c r="D34" s="686"/>
      <c r="E34" s="686"/>
      <c r="F34" s="686"/>
      <c r="G34" s="686"/>
      <c r="H34" s="686"/>
      <c r="I34" s="686"/>
      <c r="J34" s="686">
        <f>J30-$I$30</f>
        <v>-86562.729999999981</v>
      </c>
      <c r="K34" s="686">
        <f t="shared" ref="K34:M34" si="1">K30-$I$30</f>
        <v>-84878.599999999977</v>
      </c>
      <c r="L34" s="686">
        <f t="shared" si="1"/>
        <v>-83917.960000000021</v>
      </c>
      <c r="M34" s="686">
        <f t="shared" si="1"/>
        <v>-82479.580000000016</v>
      </c>
      <c r="N34" s="681">
        <f>SUM(J34:M34)</f>
        <v>-337838.87</v>
      </c>
    </row>
    <row r="35" spans="1:14">
      <c r="A35" s="679" t="s">
        <v>882</v>
      </c>
      <c r="I35" s="686"/>
    </row>
    <row r="36" spans="1:14">
      <c r="A36" s="679" t="s">
        <v>1384</v>
      </c>
      <c r="B36" s="682">
        <v>45839</v>
      </c>
      <c r="C36" s="682">
        <v>45870</v>
      </c>
      <c r="D36" s="682">
        <v>45901</v>
      </c>
      <c r="E36" s="682">
        <v>45931</v>
      </c>
      <c r="F36" s="682">
        <v>45962</v>
      </c>
      <c r="G36" s="682">
        <v>45992</v>
      </c>
      <c r="H36" s="682">
        <v>46023</v>
      </c>
      <c r="I36" s="682">
        <v>46054</v>
      </c>
      <c r="J36" s="682">
        <v>46082</v>
      </c>
      <c r="K36" s="682">
        <v>46113</v>
      </c>
      <c r="L36" s="682">
        <v>46143</v>
      </c>
      <c r="M36" s="682">
        <v>46174</v>
      </c>
    </row>
    <row r="37" spans="1:14">
      <c r="A37" s="685" t="s">
        <v>1385</v>
      </c>
      <c r="B37" s="686">
        <v>42112689.399999999</v>
      </c>
      <c r="C37" s="686">
        <v>42351827.710000001</v>
      </c>
      <c r="D37" s="686">
        <v>42542952.189999998</v>
      </c>
      <c r="E37" s="686">
        <v>43597028.359999999</v>
      </c>
      <c r="F37" s="686">
        <v>43554551.909999996</v>
      </c>
      <c r="G37" s="686">
        <v>43866085.579999998</v>
      </c>
      <c r="H37" s="686">
        <v>44034085.75</v>
      </c>
      <c r="I37" s="686">
        <v>44124200.689999998</v>
      </c>
      <c r="J37" s="686">
        <v>44132608.460000001</v>
      </c>
      <c r="K37" s="686">
        <v>44126015.579999998</v>
      </c>
      <c r="L37" s="686">
        <v>44079388.229999997</v>
      </c>
      <c r="M37" s="686">
        <v>43905134.25</v>
      </c>
    </row>
    <row r="38" spans="1:14">
      <c r="A38" s="685" t="s">
        <v>244</v>
      </c>
      <c r="B38" s="686">
        <v>419578.83</v>
      </c>
      <c r="C38" s="686">
        <v>270566.15000000002</v>
      </c>
      <c r="D38" s="686">
        <v>1172721.52</v>
      </c>
      <c r="E38" s="686">
        <v>14371.63</v>
      </c>
      <c r="F38" s="686">
        <v>333993.7</v>
      </c>
      <c r="G38" s="686">
        <v>188969.14</v>
      </c>
      <c r="H38" s="686">
        <v>103159.51</v>
      </c>
      <c r="I38" s="686">
        <v>24834.53</v>
      </c>
      <c r="J38" s="686">
        <v>25815.87</v>
      </c>
      <c r="K38" s="686">
        <v>27483.03</v>
      </c>
      <c r="L38" s="686">
        <v>10793.78</v>
      </c>
      <c r="M38" s="686">
        <v>385546.06</v>
      </c>
    </row>
    <row r="39" spans="1:14">
      <c r="A39" s="685" t="s">
        <v>245</v>
      </c>
      <c r="B39" s="686">
        <v>-180440.52</v>
      </c>
      <c r="C39" s="686">
        <v>-79441.67</v>
      </c>
      <c r="D39" s="686">
        <v>-118645.35</v>
      </c>
      <c r="E39" s="686">
        <v>-56848.08</v>
      </c>
      <c r="F39" s="686">
        <v>-22460.03</v>
      </c>
      <c r="G39" s="686">
        <v>-20968.97</v>
      </c>
      <c r="H39" s="686">
        <v>-13044.57</v>
      </c>
      <c r="I39" s="686">
        <v>-16426.759999999998</v>
      </c>
      <c r="J39" s="686">
        <v>-32408.75</v>
      </c>
      <c r="K39" s="686">
        <v>-74110.38</v>
      </c>
      <c r="L39" s="686">
        <v>-185047.76</v>
      </c>
      <c r="M39" s="686">
        <v>-113728.4</v>
      </c>
    </row>
    <row r="40" spans="1:14">
      <c r="A40" s="685" t="s">
        <v>1386</v>
      </c>
      <c r="B40" s="686">
        <v>0</v>
      </c>
      <c r="C40" s="686">
        <v>0</v>
      </c>
      <c r="D40" s="686">
        <v>0</v>
      </c>
      <c r="E40" s="686">
        <v>0</v>
      </c>
      <c r="F40" s="686">
        <v>0</v>
      </c>
      <c r="G40" s="686">
        <v>0</v>
      </c>
      <c r="H40" s="686">
        <v>0</v>
      </c>
      <c r="I40" s="686">
        <v>0</v>
      </c>
      <c r="J40" s="686">
        <v>0</v>
      </c>
      <c r="K40" s="686">
        <v>0</v>
      </c>
      <c r="L40" s="686">
        <v>0</v>
      </c>
      <c r="M40" s="686">
        <v>0</v>
      </c>
    </row>
    <row r="41" spans="1:14">
      <c r="A41" s="685" t="s">
        <v>1387</v>
      </c>
      <c r="B41" s="686">
        <v>0</v>
      </c>
      <c r="C41" s="686">
        <v>0</v>
      </c>
      <c r="D41" s="686">
        <v>0</v>
      </c>
      <c r="E41" s="686">
        <v>0</v>
      </c>
      <c r="F41" s="686">
        <v>0</v>
      </c>
      <c r="G41" s="686">
        <v>0</v>
      </c>
      <c r="H41" s="686">
        <v>0</v>
      </c>
      <c r="I41" s="686">
        <v>0</v>
      </c>
      <c r="J41" s="686">
        <v>0</v>
      </c>
      <c r="K41" s="686">
        <v>0</v>
      </c>
      <c r="L41" s="686">
        <v>0</v>
      </c>
      <c r="M41" s="686">
        <v>0</v>
      </c>
    </row>
    <row r="42" spans="1:14">
      <c r="A42" s="685" t="s">
        <v>247</v>
      </c>
      <c r="B42" s="686">
        <v>0</v>
      </c>
      <c r="C42" s="686">
        <v>0</v>
      </c>
      <c r="D42" s="686">
        <v>0</v>
      </c>
      <c r="E42" s="686">
        <v>0</v>
      </c>
      <c r="F42" s="686">
        <v>0</v>
      </c>
      <c r="G42" s="686">
        <v>0</v>
      </c>
      <c r="H42" s="686">
        <v>0</v>
      </c>
      <c r="I42" s="686">
        <v>0</v>
      </c>
      <c r="J42" s="686">
        <v>0</v>
      </c>
      <c r="K42" s="686">
        <v>0</v>
      </c>
      <c r="L42" s="686">
        <v>0</v>
      </c>
      <c r="M42" s="686">
        <v>0</v>
      </c>
    </row>
    <row r="43" spans="1:14">
      <c r="A43" s="685" t="s">
        <v>1388</v>
      </c>
      <c r="B43" s="686">
        <v>42351827.710000001</v>
      </c>
      <c r="C43" s="686">
        <v>42542952.189999998</v>
      </c>
      <c r="D43" s="686">
        <v>43597028.359999999</v>
      </c>
      <c r="E43" s="686">
        <v>43554551.909999996</v>
      </c>
      <c r="F43" s="686">
        <v>43866085.579999998</v>
      </c>
      <c r="G43" s="686">
        <v>44034085.75</v>
      </c>
      <c r="H43" s="686">
        <v>44124200.689999998</v>
      </c>
      <c r="I43" s="686">
        <v>44132608.460000001</v>
      </c>
      <c r="J43" s="686">
        <v>44126015.579999998</v>
      </c>
      <c r="K43" s="686">
        <v>44079388.229999997</v>
      </c>
      <c r="L43" s="686">
        <v>43905134.25</v>
      </c>
      <c r="M43" s="686">
        <v>44176951.909999996</v>
      </c>
    </row>
    <row r="44" spans="1:14">
      <c r="A44" s="685" t="s">
        <v>1389</v>
      </c>
      <c r="B44" s="686">
        <v>7421927.6600000001</v>
      </c>
      <c r="C44" s="686">
        <v>7324543.9199999999</v>
      </c>
      <c r="D44" s="686">
        <v>7328582.1200000001</v>
      </c>
      <c r="E44" s="686">
        <v>7294641.0800000001</v>
      </c>
      <c r="F44" s="686">
        <v>7323492.0499999998</v>
      </c>
      <c r="G44" s="686">
        <v>7386995.6500000004</v>
      </c>
      <c r="H44" s="686">
        <v>7452461.8499999996</v>
      </c>
      <c r="I44" s="686">
        <v>7526106.2599999998</v>
      </c>
      <c r="J44" s="686">
        <v>7596465.3600000003</v>
      </c>
      <c r="K44" s="686">
        <v>7694238.0800000001</v>
      </c>
      <c r="L44" s="686">
        <v>7750230.6699999999</v>
      </c>
      <c r="M44" s="686">
        <v>7209723.75</v>
      </c>
    </row>
    <row r="45" spans="1:14">
      <c r="A45" s="685" t="s">
        <v>1390</v>
      </c>
      <c r="B45" s="686">
        <v>42232258.560000002</v>
      </c>
      <c r="C45" s="686">
        <v>42447389.950000003</v>
      </c>
      <c r="D45" s="686">
        <v>43069990.280000001</v>
      </c>
      <c r="E45" s="686">
        <v>43575790.140000001</v>
      </c>
      <c r="F45" s="686">
        <v>43710318.75</v>
      </c>
      <c r="G45" s="686">
        <v>43950085.670000002</v>
      </c>
      <c r="H45" s="686">
        <v>44079143.219999999</v>
      </c>
      <c r="I45" s="686">
        <v>44128404.579999998</v>
      </c>
      <c r="J45" s="686">
        <v>44129312.020000003</v>
      </c>
      <c r="K45" s="686">
        <v>44102701.909999996</v>
      </c>
      <c r="L45" s="686">
        <v>43992261.240000002</v>
      </c>
      <c r="M45" s="686">
        <v>44041043.079999998</v>
      </c>
    </row>
    <row r="46" spans="1:14">
      <c r="A46" s="685" t="s">
        <v>1391</v>
      </c>
      <c r="B46" s="687">
        <v>2.3599999999999999E-2</v>
      </c>
      <c r="C46" s="687">
        <v>2.3599999999999999E-2</v>
      </c>
      <c r="D46" s="687">
        <v>2.3599999999999999E-2</v>
      </c>
      <c r="E46" s="687">
        <v>2.3599999999999999E-2</v>
      </c>
      <c r="F46" s="687">
        <v>2.3599999999999999E-2</v>
      </c>
      <c r="G46" s="687">
        <v>2.3599999999999999E-2</v>
      </c>
      <c r="H46" s="687">
        <v>2.3599999999999999E-2</v>
      </c>
      <c r="I46" s="687">
        <v>2.3599999999999999E-2</v>
      </c>
      <c r="J46" s="687">
        <v>3.5400000000000001E-2</v>
      </c>
      <c r="K46" s="687">
        <v>3.5400000000000001E-2</v>
      </c>
      <c r="L46" s="687">
        <v>3.5400000000000001E-2</v>
      </c>
      <c r="M46" s="687">
        <v>3.5400000000000001E-2</v>
      </c>
    </row>
    <row r="47" spans="1:14">
      <c r="A47" s="685" t="s">
        <v>1392</v>
      </c>
      <c r="B47" s="686">
        <v>83056.78</v>
      </c>
      <c r="C47" s="686">
        <v>83479.87</v>
      </c>
      <c r="D47" s="686">
        <v>84704.31</v>
      </c>
      <c r="E47" s="686">
        <v>85699.05</v>
      </c>
      <c r="F47" s="686">
        <v>85963.63</v>
      </c>
      <c r="G47" s="686">
        <v>86435.17</v>
      </c>
      <c r="H47" s="686">
        <v>86688.98</v>
      </c>
      <c r="I47" s="686">
        <v>86785.86</v>
      </c>
      <c r="J47" s="686">
        <v>130181.47</v>
      </c>
      <c r="K47" s="686">
        <v>130102.97</v>
      </c>
      <c r="L47" s="686">
        <v>129777.17</v>
      </c>
      <c r="M47" s="686">
        <v>129921.08</v>
      </c>
    </row>
    <row r="48" spans="1:14">
      <c r="A48" s="685" t="s">
        <v>1393</v>
      </c>
      <c r="B48" s="686">
        <v>0</v>
      </c>
      <c r="C48" s="686">
        <v>0</v>
      </c>
      <c r="D48" s="686">
        <v>0</v>
      </c>
      <c r="E48" s="686">
        <v>0</v>
      </c>
      <c r="F48" s="686">
        <v>0</v>
      </c>
      <c r="G48" s="686">
        <v>0</v>
      </c>
      <c r="H48" s="686">
        <v>0</v>
      </c>
      <c r="I48" s="686">
        <v>0</v>
      </c>
      <c r="J48" s="686">
        <v>0</v>
      </c>
      <c r="K48" s="686">
        <v>0</v>
      </c>
      <c r="L48" s="686">
        <v>0</v>
      </c>
      <c r="M48" s="686">
        <v>0</v>
      </c>
    </row>
    <row r="49" spans="1:15">
      <c r="A49" s="685" t="s">
        <v>1394</v>
      </c>
      <c r="B49" s="686">
        <v>0</v>
      </c>
      <c r="C49" s="686">
        <v>0</v>
      </c>
      <c r="D49" s="686">
        <v>0</v>
      </c>
      <c r="E49" s="686">
        <v>0</v>
      </c>
      <c r="F49" s="686">
        <v>0</v>
      </c>
      <c r="G49" s="686">
        <v>0</v>
      </c>
      <c r="H49" s="686">
        <v>0</v>
      </c>
      <c r="I49" s="686">
        <v>0</v>
      </c>
      <c r="J49" s="686">
        <v>0</v>
      </c>
      <c r="K49" s="686">
        <v>0</v>
      </c>
      <c r="L49" s="686">
        <v>0</v>
      </c>
      <c r="M49" s="686">
        <v>0</v>
      </c>
      <c r="O49" s="681" t="s">
        <v>70</v>
      </c>
    </row>
    <row r="50" spans="1:15">
      <c r="A50" s="685" t="s">
        <v>1395</v>
      </c>
      <c r="B50" s="686">
        <v>0</v>
      </c>
      <c r="C50" s="686">
        <v>0</v>
      </c>
      <c r="D50" s="686">
        <v>0</v>
      </c>
      <c r="E50" s="686">
        <v>0</v>
      </c>
      <c r="F50" s="686">
        <v>0</v>
      </c>
      <c r="G50" s="686">
        <v>0</v>
      </c>
      <c r="H50" s="686">
        <v>0</v>
      </c>
      <c r="I50" s="686">
        <v>0</v>
      </c>
      <c r="J50" s="686">
        <v>0</v>
      </c>
      <c r="K50" s="686">
        <v>0</v>
      </c>
      <c r="L50" s="686">
        <v>0</v>
      </c>
      <c r="M50" s="686">
        <v>0</v>
      </c>
    </row>
    <row r="51" spans="1:15">
      <c r="B51" s="686"/>
      <c r="C51" s="686"/>
      <c r="D51" s="686"/>
      <c r="E51" s="686"/>
      <c r="F51" s="686"/>
      <c r="G51" s="686"/>
      <c r="H51" s="686"/>
      <c r="I51" s="686"/>
      <c r="J51" s="686">
        <f>J47-$I$47</f>
        <v>43395.61</v>
      </c>
      <c r="K51" s="686">
        <f t="shared" ref="K51:M51" si="2">K47-$I$47</f>
        <v>43317.11</v>
      </c>
      <c r="L51" s="686">
        <f t="shared" si="2"/>
        <v>42991.31</v>
      </c>
      <c r="M51" s="686">
        <f t="shared" si="2"/>
        <v>43135.22</v>
      </c>
      <c r="N51" s="681">
        <f>SUM(J51:M51)</f>
        <v>172839.25</v>
      </c>
    </row>
    <row r="52" spans="1:15">
      <c r="A52" s="679" t="s">
        <v>883</v>
      </c>
      <c r="B52" s="686"/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</row>
    <row r="53" spans="1:15">
      <c r="A53" s="679" t="s">
        <v>1384</v>
      </c>
      <c r="B53" s="682">
        <v>45839</v>
      </c>
      <c r="C53" s="682">
        <v>45870</v>
      </c>
      <c r="D53" s="682">
        <v>45901</v>
      </c>
      <c r="E53" s="682">
        <v>45931</v>
      </c>
      <c r="F53" s="682">
        <v>45962</v>
      </c>
      <c r="G53" s="682">
        <v>45992</v>
      </c>
      <c r="H53" s="682">
        <v>46023</v>
      </c>
      <c r="I53" s="682">
        <v>46054</v>
      </c>
      <c r="J53" s="682">
        <v>46082</v>
      </c>
      <c r="K53" s="682">
        <v>46113</v>
      </c>
      <c r="L53" s="682">
        <v>46143</v>
      </c>
      <c r="M53" s="682">
        <v>46174</v>
      </c>
    </row>
    <row r="54" spans="1:15">
      <c r="A54" s="685" t="s">
        <v>1385</v>
      </c>
      <c r="B54" s="686">
        <v>15484702.060000001</v>
      </c>
      <c r="C54" s="686">
        <v>15504200.32</v>
      </c>
      <c r="D54" s="686">
        <v>15561980.48</v>
      </c>
      <c r="E54" s="686">
        <v>15597267.960000001</v>
      </c>
      <c r="F54" s="686">
        <v>15652115.689999999</v>
      </c>
      <c r="G54" s="686">
        <v>15691359.5</v>
      </c>
      <c r="H54" s="686">
        <v>15747709.27</v>
      </c>
      <c r="I54" s="686">
        <v>15785738.91</v>
      </c>
      <c r="J54" s="686">
        <v>15838891.83</v>
      </c>
      <c r="K54" s="686">
        <v>15881813.960000001</v>
      </c>
      <c r="L54" s="686">
        <v>15913327.119999999</v>
      </c>
      <c r="M54" s="686">
        <v>15935486.199999999</v>
      </c>
    </row>
    <row r="55" spans="1:15">
      <c r="A55" s="685" t="s">
        <v>244</v>
      </c>
      <c r="B55" s="686">
        <v>73866.559999999998</v>
      </c>
      <c r="C55" s="686">
        <v>81764.67</v>
      </c>
      <c r="D55" s="686">
        <v>71653.919999999998</v>
      </c>
      <c r="E55" s="686">
        <v>72301.009999999995</v>
      </c>
      <c r="F55" s="686">
        <v>46174.33</v>
      </c>
      <c r="G55" s="686">
        <v>62831.519999999997</v>
      </c>
      <c r="H55" s="686">
        <v>42369.88</v>
      </c>
      <c r="I55" s="686">
        <v>58661.1</v>
      </c>
      <c r="J55" s="686">
        <v>53748.69</v>
      </c>
      <c r="K55" s="686">
        <v>56235.02</v>
      </c>
      <c r="L55" s="686">
        <v>83852.740000000005</v>
      </c>
      <c r="M55" s="686">
        <v>110808.96000000001</v>
      </c>
    </row>
    <row r="56" spans="1:15">
      <c r="A56" s="685" t="s">
        <v>245</v>
      </c>
      <c r="B56" s="686">
        <v>-54368.3</v>
      </c>
      <c r="C56" s="686">
        <v>-23984.51</v>
      </c>
      <c r="D56" s="686">
        <v>-36366.44</v>
      </c>
      <c r="E56" s="686">
        <v>-17453.28</v>
      </c>
      <c r="F56" s="686">
        <v>-6930.52</v>
      </c>
      <c r="G56" s="686">
        <v>-6481.75</v>
      </c>
      <c r="H56" s="686">
        <v>-4340.24</v>
      </c>
      <c r="I56" s="686">
        <v>-5508.18</v>
      </c>
      <c r="J56" s="686">
        <v>-10826.56</v>
      </c>
      <c r="K56" s="686">
        <v>-24721.86</v>
      </c>
      <c r="L56" s="686">
        <v>-61693.66</v>
      </c>
      <c r="M56" s="686">
        <v>-37936.01</v>
      </c>
    </row>
    <row r="57" spans="1:15">
      <c r="A57" s="685" t="s">
        <v>1386</v>
      </c>
      <c r="B57" s="686">
        <v>0</v>
      </c>
      <c r="C57" s="686">
        <v>0</v>
      </c>
      <c r="D57" s="686">
        <v>0</v>
      </c>
      <c r="E57" s="686">
        <v>0</v>
      </c>
      <c r="F57" s="686">
        <v>0</v>
      </c>
      <c r="G57" s="686">
        <v>0</v>
      </c>
      <c r="H57" s="686">
        <v>0</v>
      </c>
      <c r="I57" s="686">
        <v>0</v>
      </c>
      <c r="J57" s="686">
        <v>0</v>
      </c>
      <c r="K57" s="686">
        <v>0</v>
      </c>
      <c r="L57" s="686">
        <v>0</v>
      </c>
      <c r="M57" s="686">
        <v>0</v>
      </c>
    </row>
    <row r="58" spans="1:15">
      <c r="A58" s="685" t="s">
        <v>1387</v>
      </c>
      <c r="B58" s="686">
        <v>0</v>
      </c>
      <c r="C58" s="686">
        <v>0</v>
      </c>
      <c r="D58" s="686">
        <v>0</v>
      </c>
      <c r="E58" s="686">
        <v>0</v>
      </c>
      <c r="F58" s="686">
        <v>0</v>
      </c>
      <c r="G58" s="686">
        <v>0</v>
      </c>
      <c r="H58" s="686">
        <v>0</v>
      </c>
      <c r="I58" s="686">
        <v>0</v>
      </c>
      <c r="J58" s="686">
        <v>0</v>
      </c>
      <c r="K58" s="686">
        <v>0</v>
      </c>
      <c r="L58" s="686">
        <v>0</v>
      </c>
      <c r="M58" s="686">
        <v>0</v>
      </c>
    </row>
    <row r="59" spans="1:15">
      <c r="A59" s="685" t="s">
        <v>247</v>
      </c>
      <c r="B59" s="686">
        <v>0</v>
      </c>
      <c r="C59" s="686">
        <v>0</v>
      </c>
      <c r="D59" s="686">
        <v>0</v>
      </c>
      <c r="E59" s="686">
        <v>0</v>
      </c>
      <c r="F59" s="686">
        <v>0</v>
      </c>
      <c r="G59" s="686">
        <v>0</v>
      </c>
      <c r="H59" s="686">
        <v>0</v>
      </c>
      <c r="I59" s="686">
        <v>0</v>
      </c>
      <c r="J59" s="686">
        <v>0</v>
      </c>
      <c r="K59" s="686">
        <v>0</v>
      </c>
      <c r="L59" s="686">
        <v>0</v>
      </c>
      <c r="M59" s="686">
        <v>0</v>
      </c>
    </row>
    <row r="60" spans="1:15">
      <c r="A60" s="685" t="s">
        <v>1388</v>
      </c>
      <c r="B60" s="686">
        <v>15504200.32</v>
      </c>
      <c r="C60" s="686">
        <v>15561980.48</v>
      </c>
      <c r="D60" s="686">
        <v>15597267.960000001</v>
      </c>
      <c r="E60" s="686">
        <v>15652115.689999999</v>
      </c>
      <c r="F60" s="686">
        <v>15691359.5</v>
      </c>
      <c r="G60" s="686">
        <v>15747709.27</v>
      </c>
      <c r="H60" s="686">
        <v>15785738.91</v>
      </c>
      <c r="I60" s="686">
        <v>15838891.83</v>
      </c>
      <c r="J60" s="686">
        <v>15881813.960000001</v>
      </c>
      <c r="K60" s="686">
        <v>15913327.119999999</v>
      </c>
      <c r="L60" s="686">
        <v>15935486.199999999</v>
      </c>
      <c r="M60" s="686">
        <v>16008359.15</v>
      </c>
    </row>
    <row r="61" spans="1:15">
      <c r="A61" s="685" t="s">
        <v>1389</v>
      </c>
      <c r="B61" s="686">
        <v>1597029.42</v>
      </c>
      <c r="C61" s="686">
        <v>1532027.66</v>
      </c>
      <c r="D61" s="686">
        <v>1493570.41</v>
      </c>
      <c r="E61" s="686">
        <v>1446679.32</v>
      </c>
      <c r="F61" s="686">
        <v>1440343.13</v>
      </c>
      <c r="G61" s="686">
        <v>1436226.58</v>
      </c>
      <c r="H61" s="686">
        <v>1433079.38</v>
      </c>
      <c r="I61" s="686">
        <v>1448244.55</v>
      </c>
      <c r="J61" s="686">
        <v>1452790.83</v>
      </c>
      <c r="K61" s="686">
        <v>1470496.4</v>
      </c>
      <c r="L61" s="686">
        <v>1473266.78</v>
      </c>
      <c r="M61" s="686">
        <v>730038.05</v>
      </c>
    </row>
    <row r="62" spans="1:15">
      <c r="A62" s="685" t="s">
        <v>1390</v>
      </c>
      <c r="B62" s="686">
        <v>15494451.189999999</v>
      </c>
      <c r="C62" s="686">
        <v>15533090.4</v>
      </c>
      <c r="D62" s="686">
        <v>15579624.220000001</v>
      </c>
      <c r="E62" s="686">
        <v>15624691.83</v>
      </c>
      <c r="F62" s="686">
        <v>15671737.6</v>
      </c>
      <c r="G62" s="686">
        <v>15719534.390000001</v>
      </c>
      <c r="H62" s="686">
        <v>15766724.09</v>
      </c>
      <c r="I62" s="686">
        <v>15812315.369999999</v>
      </c>
      <c r="J62" s="686">
        <v>15860352.9</v>
      </c>
      <c r="K62" s="686">
        <v>15897570.539999999</v>
      </c>
      <c r="L62" s="686">
        <v>15924406.66</v>
      </c>
      <c r="M62" s="686">
        <v>15971922.68</v>
      </c>
    </row>
    <row r="63" spans="1:15">
      <c r="A63" s="685" t="s">
        <v>1391</v>
      </c>
      <c r="B63" s="687">
        <v>2.3599999999999999E-2</v>
      </c>
      <c r="C63" s="687">
        <v>2.3599999999999999E-2</v>
      </c>
      <c r="D63" s="687">
        <v>2.3599999999999999E-2</v>
      </c>
      <c r="E63" s="687">
        <v>2.3599999999999999E-2</v>
      </c>
      <c r="F63" s="687">
        <v>2.3599999999999999E-2</v>
      </c>
      <c r="G63" s="687">
        <v>2.3599999999999999E-2</v>
      </c>
      <c r="H63" s="687">
        <v>2.3599999999999999E-2</v>
      </c>
      <c r="I63" s="687">
        <v>2.3599999999999999E-2</v>
      </c>
      <c r="J63" s="687">
        <v>3.5400000000000001E-2</v>
      </c>
      <c r="K63" s="687">
        <v>3.5400000000000001E-2</v>
      </c>
      <c r="L63" s="687">
        <v>3.5400000000000001E-2</v>
      </c>
      <c r="M63" s="687">
        <v>3.5400000000000001E-2</v>
      </c>
    </row>
    <row r="64" spans="1:15">
      <c r="A64" s="685" t="s">
        <v>1392</v>
      </c>
      <c r="B64" s="686">
        <v>30472.42</v>
      </c>
      <c r="C64" s="686">
        <v>30548.41</v>
      </c>
      <c r="D64" s="686">
        <v>30639.93</v>
      </c>
      <c r="E64" s="686">
        <v>30728.560000000001</v>
      </c>
      <c r="F64" s="686">
        <v>30821.08</v>
      </c>
      <c r="G64" s="686">
        <v>30915.08</v>
      </c>
      <c r="H64" s="686">
        <v>31007.89</v>
      </c>
      <c r="I64" s="686">
        <v>31097.55</v>
      </c>
      <c r="J64" s="686">
        <v>46788.04</v>
      </c>
      <c r="K64" s="686">
        <v>46897.84</v>
      </c>
      <c r="L64" s="686">
        <v>46977</v>
      </c>
      <c r="M64" s="686">
        <v>47117.17</v>
      </c>
    </row>
    <row r="65" spans="1:14">
      <c r="A65" s="685" t="s">
        <v>1393</v>
      </c>
      <c r="B65" s="686">
        <v>0</v>
      </c>
      <c r="C65" s="686">
        <v>0</v>
      </c>
      <c r="D65" s="686">
        <v>0</v>
      </c>
      <c r="E65" s="686">
        <v>0</v>
      </c>
      <c r="F65" s="686">
        <v>0</v>
      </c>
      <c r="G65" s="686">
        <v>0</v>
      </c>
      <c r="H65" s="686">
        <v>0</v>
      </c>
      <c r="I65" s="686">
        <v>0</v>
      </c>
      <c r="J65" s="686">
        <v>0</v>
      </c>
      <c r="K65" s="686">
        <v>0</v>
      </c>
      <c r="L65" s="686">
        <v>0</v>
      </c>
      <c r="M65" s="686">
        <v>0</v>
      </c>
    </row>
    <row r="66" spans="1:14">
      <c r="A66" s="685" t="s">
        <v>1394</v>
      </c>
      <c r="B66" s="686">
        <v>0</v>
      </c>
      <c r="C66" s="686">
        <v>0</v>
      </c>
      <c r="D66" s="686">
        <v>0</v>
      </c>
      <c r="E66" s="686">
        <v>0</v>
      </c>
      <c r="F66" s="686">
        <v>0</v>
      </c>
      <c r="G66" s="686">
        <v>0</v>
      </c>
      <c r="H66" s="686">
        <v>0</v>
      </c>
      <c r="I66" s="686">
        <v>0</v>
      </c>
      <c r="J66" s="686">
        <v>0</v>
      </c>
      <c r="K66" s="686">
        <v>0</v>
      </c>
      <c r="L66" s="686">
        <v>0</v>
      </c>
      <c r="M66" s="686">
        <v>0</v>
      </c>
    </row>
    <row r="67" spans="1:14">
      <c r="A67" s="685" t="s">
        <v>1395</v>
      </c>
      <c r="B67" s="686">
        <v>0</v>
      </c>
      <c r="C67" s="686">
        <v>0</v>
      </c>
      <c r="D67" s="686">
        <v>0</v>
      </c>
      <c r="E67" s="686">
        <v>0</v>
      </c>
      <c r="F67" s="686">
        <v>0</v>
      </c>
      <c r="G67" s="686">
        <v>0</v>
      </c>
      <c r="H67" s="686">
        <v>0</v>
      </c>
      <c r="I67" s="686">
        <v>0</v>
      </c>
      <c r="J67" s="686">
        <v>0</v>
      </c>
      <c r="K67" s="686">
        <v>0</v>
      </c>
      <c r="L67" s="686">
        <v>0</v>
      </c>
      <c r="M67" s="686">
        <v>0</v>
      </c>
    </row>
    <row r="68" spans="1:14">
      <c r="J68" s="686">
        <f>J64-$I$64</f>
        <v>15690.490000000002</v>
      </c>
      <c r="K68" s="686">
        <f t="shared" ref="K68:M68" si="3">K64-$I$64</f>
        <v>15800.289999999997</v>
      </c>
      <c r="L68" s="686">
        <f t="shared" si="3"/>
        <v>15879.45</v>
      </c>
      <c r="M68" s="686">
        <f t="shared" si="3"/>
        <v>16019.619999999999</v>
      </c>
      <c r="N68" s="681">
        <f>SUM(J68:M68)</f>
        <v>63389.849999999991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61"/>
  <sheetViews>
    <sheetView zoomScaleNormal="100" workbookViewId="0">
      <selection activeCell="B10" sqref="B10"/>
    </sheetView>
  </sheetViews>
  <sheetFormatPr defaultColWidth="8.7109375" defaultRowHeight="12"/>
  <cols>
    <col min="1" max="1" width="20.7109375" style="1" customWidth="1"/>
    <col min="2" max="2" width="43.85546875" style="1" bestFit="1" customWidth="1"/>
    <col min="3" max="3" width="15.7109375" style="258" customWidth="1"/>
    <col min="4" max="4" width="15.7109375" style="259" customWidth="1"/>
    <col min="5" max="5" width="4.7109375" style="4" customWidth="1"/>
    <col min="6" max="6" width="14" style="1" customWidth="1"/>
    <col min="7" max="7" width="14.28515625" style="1" customWidth="1"/>
    <col min="8" max="16384" width="8.7109375" style="1"/>
  </cols>
  <sheetData>
    <row r="1" spans="1:5" ht="15">
      <c r="A1" s="442" t="s">
        <v>1154</v>
      </c>
      <c r="B1" s="443"/>
      <c r="C1" s="443"/>
      <c r="D1" s="443"/>
      <c r="E1" s="460"/>
    </row>
    <row r="2" spans="1:5" ht="15">
      <c r="A2" s="700" t="s">
        <v>137</v>
      </c>
      <c r="B2" s="700"/>
      <c r="C2" s="700"/>
      <c r="D2" s="700"/>
      <c r="E2" s="460"/>
    </row>
    <row r="3" spans="1:5" ht="15">
      <c r="A3" s="442" t="s">
        <v>1298</v>
      </c>
      <c r="B3" s="443"/>
      <c r="C3" s="443"/>
      <c r="D3" s="443"/>
      <c r="E3" s="460"/>
    </row>
    <row r="4" spans="1:5" ht="12.75">
      <c r="A4" s="444"/>
      <c r="B4" s="444"/>
      <c r="C4" s="444"/>
      <c r="D4" s="444"/>
      <c r="E4" s="460"/>
    </row>
    <row r="5" spans="1:5" ht="12.75">
      <c r="A5" s="444"/>
      <c r="B5" s="444"/>
      <c r="D5" s="444"/>
      <c r="E5" s="460"/>
    </row>
    <row r="6" spans="1:5" ht="12.75">
      <c r="A6" s="445"/>
      <c r="B6" s="444"/>
      <c r="C6" s="444"/>
      <c r="D6" s="444"/>
      <c r="E6" s="460"/>
    </row>
    <row r="7" spans="1:5" ht="25.5">
      <c r="A7" s="446" t="s">
        <v>94</v>
      </c>
      <c r="B7" s="522" t="s">
        <v>1293</v>
      </c>
      <c r="C7" s="444"/>
      <c r="D7" s="444"/>
      <c r="E7" s="460"/>
    </row>
    <row r="8" spans="1:5" ht="12.75">
      <c r="A8" s="446" t="s">
        <v>95</v>
      </c>
      <c r="B8" s="448" t="s">
        <v>149</v>
      </c>
      <c r="C8" s="449"/>
      <c r="D8" s="444"/>
      <c r="E8" s="460"/>
    </row>
    <row r="9" spans="1:5" ht="12.75">
      <c r="A9" s="446" t="s">
        <v>96</v>
      </c>
      <c r="B9" s="450" t="s">
        <v>1409</v>
      </c>
      <c r="C9" s="444"/>
      <c r="D9" s="444"/>
      <c r="E9" s="460"/>
    </row>
    <row r="10" spans="1:5" ht="12.75">
      <c r="A10" s="446" t="s">
        <v>97</v>
      </c>
      <c r="B10" s="448"/>
      <c r="C10" s="444"/>
      <c r="D10" s="444"/>
      <c r="E10" s="460"/>
    </row>
    <row r="11" spans="1:5" ht="12.75">
      <c r="A11" s="446" t="s">
        <v>98</v>
      </c>
      <c r="B11" s="448" t="s">
        <v>70</v>
      </c>
      <c r="C11" s="444"/>
      <c r="D11" s="444"/>
      <c r="E11" s="460"/>
    </row>
    <row r="12" spans="1:5" ht="12.75">
      <c r="A12" s="446" t="s">
        <v>99</v>
      </c>
      <c r="B12" s="448"/>
      <c r="C12" s="444"/>
      <c r="D12" s="444"/>
      <c r="E12" s="460"/>
    </row>
    <row r="13" spans="1:5" ht="12.75">
      <c r="A13" s="444"/>
      <c r="B13" s="449" t="s">
        <v>1410</v>
      </c>
      <c r="C13" s="444"/>
      <c r="D13" s="444"/>
      <c r="E13" s="460"/>
    </row>
    <row r="14" spans="1:5" ht="12.75">
      <c r="A14" s="444"/>
      <c r="B14" s="444"/>
      <c r="C14" s="444"/>
      <c r="D14" s="444"/>
      <c r="E14" s="460"/>
    </row>
    <row r="15" spans="1:5" ht="12.75">
      <c r="A15" s="451" t="s">
        <v>100</v>
      </c>
      <c r="B15" s="458"/>
      <c r="C15" s="452"/>
      <c r="D15" s="452"/>
      <c r="E15" s="460"/>
    </row>
    <row r="16" spans="1:5" ht="12.75">
      <c r="A16" s="453" t="s">
        <v>101</v>
      </c>
      <c r="B16" s="454" t="s">
        <v>102</v>
      </c>
      <c r="C16" s="453" t="s">
        <v>103</v>
      </c>
      <c r="D16" s="453" t="s">
        <v>104</v>
      </c>
      <c r="E16" s="460"/>
    </row>
    <row r="17" spans="1:5" ht="12.75">
      <c r="A17" s="453"/>
      <c r="B17" s="454"/>
      <c r="C17" s="455"/>
      <c r="D17" s="453"/>
      <c r="E17" s="460"/>
    </row>
    <row r="18" spans="1:5" ht="12.75">
      <c r="A18" s="461" t="s">
        <v>227</v>
      </c>
      <c r="B18" s="462" t="s">
        <v>150</v>
      </c>
      <c r="C18" s="463"/>
      <c r="D18" s="464"/>
      <c r="E18" s="460"/>
    </row>
    <row r="19" spans="1:5" ht="12.75">
      <c r="A19" s="465" t="s">
        <v>1254</v>
      </c>
      <c r="B19" s="466" t="s">
        <v>808</v>
      </c>
      <c r="C19" s="467">
        <f>ROUND(IFERROR(VLOOKUP($A19,'Lead Schedule'!$F$4:$T$144,15,FALSE),0),0)</f>
        <v>1615</v>
      </c>
      <c r="D19" s="468"/>
      <c r="E19" s="460"/>
    </row>
    <row r="20" spans="1:5" ht="12.75">
      <c r="A20" s="465" t="s">
        <v>108</v>
      </c>
      <c r="B20" s="466" t="s">
        <v>109</v>
      </c>
      <c r="C20" s="467"/>
      <c r="D20" s="468">
        <f>-ROUND(IFERROR(VLOOKUP($A20,'Lead Schedule'!$F$4:$T$144,15,FALSE),0),0)</f>
        <v>2028</v>
      </c>
      <c r="E20" s="460"/>
    </row>
    <row r="21" spans="1:5" ht="12.75">
      <c r="A21" s="465"/>
      <c r="B21" s="466"/>
      <c r="C21" s="467"/>
      <c r="D21" s="468"/>
      <c r="E21" s="460"/>
    </row>
    <row r="22" spans="1:5" ht="12.75">
      <c r="A22" s="465" t="s">
        <v>121</v>
      </c>
      <c r="B22" s="466" t="s">
        <v>816</v>
      </c>
      <c r="C22" s="467"/>
      <c r="D22" s="468">
        <f>-ROUND(IFERROR(VLOOKUP($A22,'Lead Schedule'!$F$4:$T$144,15,FALSE),0),0)</f>
        <v>40</v>
      </c>
      <c r="E22" s="460"/>
    </row>
    <row r="23" spans="1:5" ht="12.75">
      <c r="A23" s="465" t="s">
        <v>122</v>
      </c>
      <c r="B23" s="466" t="s">
        <v>54</v>
      </c>
      <c r="C23" s="467">
        <f>ROUND(IFERROR(VLOOKUP($A23,'Lead Schedule'!$F$4:$T$144,15,FALSE),0),0)</f>
        <v>4</v>
      </c>
      <c r="D23" s="468"/>
      <c r="E23" s="460"/>
    </row>
    <row r="24" spans="1:5" ht="12.75">
      <c r="A24" s="465" t="s">
        <v>123</v>
      </c>
      <c r="B24" s="466" t="s">
        <v>817</v>
      </c>
      <c r="C24" s="467"/>
      <c r="D24" s="467">
        <f>-ROUND(IFERROR(VLOOKUP($A24,'Lead Schedule'!$F$4:$T$144,15,FALSE),0),0)</f>
        <v>63754</v>
      </c>
      <c r="E24" s="460"/>
    </row>
    <row r="25" spans="1:5" ht="12.75">
      <c r="A25" s="465" t="s">
        <v>125</v>
      </c>
      <c r="B25" s="466" t="s">
        <v>1255</v>
      </c>
      <c r="C25" s="467"/>
      <c r="D25" s="467">
        <f>-ROUND(IFERROR(VLOOKUP($A25,'Lead Schedule'!$F$4:$T$144,15,FALSE),0),0)</f>
        <v>29886</v>
      </c>
      <c r="E25" s="460"/>
    </row>
    <row r="26" spans="1:5" ht="12.75">
      <c r="A26" s="465"/>
      <c r="B26" s="466"/>
      <c r="C26" s="467"/>
      <c r="D26" s="468"/>
      <c r="E26" s="460"/>
    </row>
    <row r="27" spans="1:5" ht="12.75">
      <c r="A27" s="465" t="s">
        <v>809</v>
      </c>
      <c r="B27" s="466" t="s">
        <v>815</v>
      </c>
      <c r="C27" s="467"/>
      <c r="D27" s="467">
        <f>-ROUND(IFERROR(VLOOKUP($A27,'Lead Schedule'!$F$4:$T$144,15,FALSE),0),0)</f>
        <v>178</v>
      </c>
      <c r="E27" s="460"/>
    </row>
    <row r="28" spans="1:5" ht="12.75">
      <c r="A28" s="465" t="s">
        <v>810</v>
      </c>
      <c r="B28" s="466" t="s">
        <v>816</v>
      </c>
      <c r="C28" s="467">
        <f>ROUND(IFERROR(VLOOKUP($A28,'Lead Schedule'!$F$4:$T$144,15,FALSE),0),0)</f>
        <v>4802</v>
      </c>
      <c r="D28" s="468"/>
      <c r="E28" s="460"/>
    </row>
    <row r="29" spans="1:5" ht="12.75">
      <c r="A29" s="465" t="s">
        <v>811</v>
      </c>
      <c r="B29" s="466" t="s">
        <v>54</v>
      </c>
      <c r="C29" s="467">
        <f>ROUND(IFERROR(VLOOKUP($A29,'Lead Schedule'!$F$4:$T$144,15,FALSE),0),0)</f>
        <v>423</v>
      </c>
      <c r="D29" s="468"/>
      <c r="E29" s="460"/>
    </row>
    <row r="30" spans="1:5" ht="12.75">
      <c r="A30" s="465" t="s">
        <v>812</v>
      </c>
      <c r="B30" s="466" t="s">
        <v>817</v>
      </c>
      <c r="C30" s="467">
        <f>ROUND(IFERROR(VLOOKUP($A30,'Lead Schedule'!$F$4:$T$144,15,FALSE),0),0)</f>
        <v>170354</v>
      </c>
      <c r="D30" s="468"/>
      <c r="E30" s="460"/>
    </row>
    <row r="31" spans="1:5" ht="12.75">
      <c r="A31" s="465" t="s">
        <v>813</v>
      </c>
      <c r="B31" s="466" t="s">
        <v>818</v>
      </c>
      <c r="C31" s="467"/>
      <c r="D31" s="467">
        <f>-ROUND(IFERROR(VLOOKUP($A31,'Lead Schedule'!$F$4:$T$144,15,FALSE),0),0)</f>
        <v>11062</v>
      </c>
      <c r="E31" s="460"/>
    </row>
    <row r="32" spans="1:5" ht="12.75">
      <c r="A32" s="465" t="s">
        <v>814</v>
      </c>
      <c r="B32" s="466" t="s">
        <v>819</v>
      </c>
      <c r="C32" s="467"/>
      <c r="D32" s="467">
        <f>-ROUND(IFERROR(VLOOKUP($A32,'Lead Schedule'!$F$4:$T$144,15,FALSE),0),0)</f>
        <v>34183</v>
      </c>
      <c r="E32" s="460"/>
    </row>
    <row r="33" spans="1:5" ht="12.75">
      <c r="A33" s="465"/>
      <c r="B33" s="466"/>
      <c r="C33" s="467"/>
      <c r="D33" s="468"/>
      <c r="E33" s="460"/>
    </row>
    <row r="34" spans="1:5" ht="12.75">
      <c r="A34" s="465" t="s">
        <v>820</v>
      </c>
      <c r="B34" s="466" t="s">
        <v>126</v>
      </c>
      <c r="C34" s="467"/>
      <c r="D34" s="467">
        <f>-ROUND(IFERROR(VLOOKUP($A34,'Lead Schedule'!$F$4:$T$144,15,FALSE),0),0)</f>
        <v>432962</v>
      </c>
      <c r="E34" s="460"/>
    </row>
    <row r="35" spans="1:5" ht="12.75">
      <c r="A35" s="465" t="s">
        <v>821</v>
      </c>
      <c r="B35" s="466" t="s">
        <v>55</v>
      </c>
      <c r="C35" s="467">
        <f>ROUND(IFERROR(VLOOKUP($A35,'Lead Schedule'!$F$4:$T$144,15,FALSE),0),0)</f>
        <v>428579</v>
      </c>
      <c r="D35" s="468"/>
      <c r="E35" s="460"/>
    </row>
    <row r="36" spans="1:5" ht="12.75">
      <c r="A36" s="465" t="s">
        <v>822</v>
      </c>
      <c r="B36" s="466" t="s">
        <v>827</v>
      </c>
      <c r="C36" s="467">
        <f>ROUND(IFERROR(VLOOKUP($A36,'Lead Schedule'!$F$4:$T$144,15,FALSE),0),0)</f>
        <v>169437</v>
      </c>
      <c r="D36" s="468"/>
      <c r="E36" s="460"/>
    </row>
    <row r="37" spans="1:5" ht="12.75">
      <c r="A37" s="465" t="s">
        <v>823</v>
      </c>
      <c r="B37" s="466" t="s">
        <v>828</v>
      </c>
      <c r="C37" s="467">
        <f>ROUND(IFERROR(VLOOKUP($A37,'Lead Schedule'!$F$4:$T$144,15,FALSE),0),0)</f>
        <v>838</v>
      </c>
      <c r="D37" s="467"/>
      <c r="E37" s="460"/>
    </row>
    <row r="38" spans="1:5" ht="12.75">
      <c r="A38" s="465" t="s">
        <v>824</v>
      </c>
      <c r="B38" s="466" t="s">
        <v>829</v>
      </c>
      <c r="C38" s="467">
        <f>ROUND(IFERROR(VLOOKUP($A38,'Lead Schedule'!$F$4:$T$144,15,FALSE),0),0)</f>
        <v>1611</v>
      </c>
      <c r="D38" s="468"/>
      <c r="E38" s="460"/>
    </row>
    <row r="39" spans="1:5" ht="12.75">
      <c r="A39" s="465" t="s">
        <v>825</v>
      </c>
      <c r="B39" s="466" t="s">
        <v>830</v>
      </c>
      <c r="C39" s="467"/>
      <c r="D39" s="467">
        <f>-ROUND(IFERROR(VLOOKUP($A39,'Lead Schedule'!$F$4:$T$144,15,FALSE),0),0)</f>
        <v>9954</v>
      </c>
      <c r="E39" s="460"/>
    </row>
    <row r="40" spans="1:5" ht="12.75">
      <c r="A40" s="465" t="s">
        <v>826</v>
      </c>
      <c r="B40" s="466" t="s">
        <v>815</v>
      </c>
      <c r="C40" s="467"/>
      <c r="D40" s="467">
        <f>-ROUND(IFERROR(VLOOKUP($A40,'Lead Schedule'!$F$4:$T$144,15,FALSE),0),0)</f>
        <v>11946</v>
      </c>
      <c r="E40" s="460"/>
    </row>
    <row r="41" spans="1:5" ht="12.75">
      <c r="A41" s="465" t="s">
        <v>645</v>
      </c>
      <c r="B41" s="466" t="s">
        <v>816</v>
      </c>
      <c r="C41" s="467"/>
      <c r="D41" s="467">
        <f>-ROUND(IFERROR(VLOOKUP($A41,'Lead Schedule'!$F$4:$T$144,15,FALSE),0),0)</f>
        <v>870</v>
      </c>
      <c r="E41" s="460"/>
    </row>
    <row r="42" spans="1:5" ht="12.75">
      <c r="A42" s="465"/>
      <c r="B42" s="466"/>
      <c r="C42" s="467" t="s">
        <v>70</v>
      </c>
      <c r="D42" s="468"/>
      <c r="E42" s="460"/>
    </row>
    <row r="43" spans="1:5" ht="12.75">
      <c r="A43" s="465" t="s">
        <v>107</v>
      </c>
      <c r="B43" s="466" t="s">
        <v>156</v>
      </c>
      <c r="C43" s="467"/>
      <c r="D43" s="467">
        <f>-ROUND(IFERROR(VLOOKUP($A43,'Lead Schedule'!$F$4:$T$144,15,FALSE),0),0)</f>
        <v>86354</v>
      </c>
      <c r="E43" s="460"/>
    </row>
    <row r="44" spans="1:5" ht="12.75">
      <c r="A44" s="465" t="s">
        <v>129</v>
      </c>
      <c r="B44" s="466" t="s">
        <v>157</v>
      </c>
      <c r="C44" s="467"/>
      <c r="D44" s="467">
        <f>-ROUND(IFERROR(VLOOKUP($A44,'Lead Schedule'!$F$4:$T$144,15,FALSE),0),0)</f>
        <v>20041</v>
      </c>
      <c r="E44" s="460"/>
    </row>
    <row r="45" spans="1:5" ht="12.75">
      <c r="A45" s="465" t="s">
        <v>158</v>
      </c>
      <c r="B45" s="469" t="s">
        <v>63</v>
      </c>
      <c r="C45" s="467">
        <f>ROUND(IFERROR(VLOOKUP($A45,'Lead Schedule'!$F$4:$T$144,15,FALSE),0),0)</f>
        <v>174</v>
      </c>
      <c r="D45" s="468"/>
      <c r="E45" s="460"/>
    </row>
    <row r="46" spans="1:5" ht="12.75">
      <c r="A46" s="465" t="s">
        <v>159</v>
      </c>
      <c r="B46" s="469" t="s">
        <v>160</v>
      </c>
      <c r="C46" s="467">
        <f>ROUND(IFERROR(VLOOKUP($A46,'Lead Schedule'!$F$4:$T$144,15,FALSE),0),0)</f>
        <v>30879</v>
      </c>
      <c r="D46" s="468"/>
      <c r="E46" s="460"/>
    </row>
    <row r="47" spans="1:5" ht="12.75">
      <c r="A47" s="465" t="s">
        <v>161</v>
      </c>
      <c r="B47" s="469" t="s">
        <v>65</v>
      </c>
      <c r="C47" s="467"/>
      <c r="D47" s="467">
        <f>-ROUND(IFERROR(VLOOKUP($A47,'Lead Schedule'!$F$4:$T$144,15,FALSE),0),0)</f>
        <v>818</v>
      </c>
      <c r="E47" s="460"/>
    </row>
    <row r="48" spans="1:5" ht="12.75">
      <c r="A48" s="465" t="s">
        <v>162</v>
      </c>
      <c r="B48" s="469" t="s">
        <v>105</v>
      </c>
      <c r="C48" s="467"/>
      <c r="D48" s="467">
        <f>-ROUND(IFERROR(VLOOKUP($A48,'Lead Schedule'!$F$4:$T$144,15,FALSE),0),0)</f>
        <v>39331</v>
      </c>
      <c r="E48" s="460"/>
    </row>
    <row r="49" spans="1:5" ht="12.75">
      <c r="A49" s="465" t="s">
        <v>131</v>
      </c>
      <c r="B49" s="466" t="s">
        <v>163</v>
      </c>
      <c r="C49" s="467">
        <f>ROUND(IFERROR(VLOOKUP($A49,'Lead Schedule'!$F$4:$T$144,15,FALSE),0),0)</f>
        <v>156854</v>
      </c>
      <c r="D49" s="468"/>
      <c r="E49" s="460"/>
    </row>
    <row r="50" spans="1:5" ht="12.75">
      <c r="A50" s="465" t="s">
        <v>132</v>
      </c>
      <c r="B50" s="466" t="s">
        <v>66</v>
      </c>
      <c r="C50" s="467">
        <f>ROUND(IFERROR(VLOOKUP($A50,'Lead Schedule'!$F$4:$T$144,15,FALSE),0),0)</f>
        <v>817</v>
      </c>
      <c r="D50" s="468"/>
      <c r="E50" s="460"/>
    </row>
    <row r="51" spans="1:5" ht="12.75">
      <c r="A51" s="470"/>
      <c r="B51" s="466"/>
      <c r="C51" s="467"/>
      <c r="D51" s="468"/>
      <c r="E51" s="460"/>
    </row>
    <row r="52" spans="1:5" ht="12.75">
      <c r="A52" s="471"/>
      <c r="B52" s="472"/>
      <c r="C52" s="473"/>
      <c r="D52" s="473"/>
      <c r="E52" s="460"/>
    </row>
    <row r="53" spans="1:5" ht="12.75">
      <c r="A53" s="474"/>
      <c r="B53" s="472"/>
      <c r="C53" s="473"/>
      <c r="D53" s="473"/>
      <c r="E53" s="460"/>
    </row>
    <row r="54" spans="1:5" ht="12.75">
      <c r="A54" s="475"/>
      <c r="B54" s="456" t="s">
        <v>1268</v>
      </c>
      <c r="C54" s="476">
        <f>SUM(C19:C52)</f>
        <v>966387</v>
      </c>
      <c r="D54" s="476">
        <f>SUM(D19:D52)</f>
        <v>743407</v>
      </c>
      <c r="E54" s="460"/>
    </row>
    <row r="55" spans="1:5" ht="12.75">
      <c r="A55" s="15"/>
      <c r="B55" s="15"/>
      <c r="C55" s="477"/>
      <c r="D55" s="478"/>
      <c r="E55" s="460"/>
    </row>
    <row r="56" spans="1:5" ht="13.5" thickBot="1">
      <c r="A56" s="15"/>
      <c r="B56" s="456" t="s">
        <v>1269</v>
      </c>
      <c r="C56" s="457">
        <f>IF(C54-D54&lt;=0,0,C54-D54)</f>
        <v>222980</v>
      </c>
      <c r="D56" s="457">
        <f>IF(D54-C54&lt;=0,0,D54-C54)</f>
        <v>0</v>
      </c>
      <c r="E56" s="460"/>
    </row>
    <row r="57" spans="1:5" ht="13.5" thickTop="1">
      <c r="A57" s="15"/>
      <c r="B57" s="15"/>
      <c r="C57" s="477"/>
      <c r="D57" s="478"/>
      <c r="E57" s="460"/>
    </row>
    <row r="58" spans="1:5" ht="12.75">
      <c r="A58" s="15"/>
      <c r="B58" s="15"/>
      <c r="C58" s="477"/>
      <c r="D58" s="478"/>
      <c r="E58" s="460"/>
    </row>
    <row r="59" spans="1:5" ht="12.75">
      <c r="A59" s="459" t="s">
        <v>1270</v>
      </c>
      <c r="B59" s="444"/>
      <c r="C59" s="444"/>
      <c r="D59" s="444"/>
      <c r="E59" s="460"/>
    </row>
    <row r="60" spans="1:5" ht="12" customHeight="1">
      <c r="A60" s="701" t="s">
        <v>1313</v>
      </c>
      <c r="B60" s="701"/>
      <c r="C60" s="701"/>
      <c r="D60" s="701"/>
      <c r="E60" s="460"/>
    </row>
    <row r="61" spans="1:5" ht="12" customHeight="1">
      <c r="A61" s="701"/>
      <c r="B61" s="701"/>
      <c r="C61" s="701"/>
      <c r="D61" s="701"/>
    </row>
  </sheetData>
  <mergeCells count="2">
    <mergeCell ref="A2:D2"/>
    <mergeCell ref="A60:D61"/>
  </mergeCells>
  <dataValidations disablePrompts="1" count="2">
    <dataValidation type="list" allowBlank="1" showInputMessage="1" showErrorMessage="1" sqref="A2:D2" xr:uid="{6F225267-603D-4751-A976-3F6027CED518}">
      <formula1>"(CHOOSE ONE),INCOME STATEMENT PRO FORMA ADJUSTMENT, RATE BASE PRO FORMA ADJUSTMENT"</formula1>
    </dataValidation>
    <dataValidation type="list" allowBlank="1" showInputMessage="1" showErrorMessage="1" sqref="B8" xr:uid="{88A3E167-EA80-4E3E-A62B-BE65B1232502}">
      <formula1>"(Choose one),Income Statement,Rate Base"</formula1>
    </dataValidation>
  </dataValidations>
  <pageMargins left="0.7" right="0.7" top="0.75" bottom="0.75" header="0.3" footer="0.3"/>
  <pageSetup scale="89" orientation="portrait" r:id="rId1"/>
  <headerFooter>
    <oddFooter>&amp;L&amp;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DC7E-D643-4ECD-AC18-99A13F68FCE3}">
  <dimension ref="A1:V122"/>
  <sheetViews>
    <sheetView showGridLines="0" workbookViewId="0">
      <selection activeCell="S9" sqref="S9"/>
    </sheetView>
  </sheetViews>
  <sheetFormatPr defaultColWidth="9.140625" defaultRowHeight="15"/>
  <cols>
    <col min="1" max="1" width="7.7109375" style="134" customWidth="1"/>
    <col min="2" max="2" width="23.7109375" style="134" customWidth="1"/>
    <col min="3" max="3" width="11.7109375" style="134" customWidth="1"/>
    <col min="4" max="4" width="5.42578125" style="134" customWidth="1"/>
    <col min="5" max="5" width="9.140625" style="134" customWidth="1"/>
    <col min="6" max="6" width="6.7109375" style="134" customWidth="1"/>
    <col min="7" max="7" width="9.140625" style="134" customWidth="1"/>
    <col min="8" max="8" width="15.140625" style="134" customWidth="1"/>
    <col min="9" max="9" width="12" style="134" customWidth="1"/>
    <col min="10" max="10" width="7.5703125" style="134" customWidth="1"/>
    <col min="11" max="11" width="9.42578125" style="134" customWidth="1"/>
    <col min="12" max="12" width="7.7109375" style="134" customWidth="1"/>
    <col min="13" max="13" width="9.5703125" style="134" customWidth="1"/>
    <col min="14" max="14" width="12.140625" style="134" customWidth="1"/>
    <col min="15" max="15" width="6.140625" style="134" customWidth="1"/>
    <col min="16" max="16" width="12.140625" style="360" customWidth="1"/>
    <col min="17" max="17" width="12.140625" style="359" customWidth="1"/>
    <col min="18" max="18" width="9.140625" style="282"/>
    <col min="19" max="16384" width="9.140625" style="134"/>
  </cols>
  <sheetData>
    <row r="1" spans="1:17">
      <c r="A1" s="732" t="s">
        <v>234</v>
      </c>
      <c r="B1" s="732"/>
      <c r="C1" s="732"/>
      <c r="D1" s="732"/>
      <c r="E1" s="732"/>
      <c r="F1" s="732"/>
      <c r="G1" s="732"/>
    </row>
    <row r="2" spans="1:17">
      <c r="A2" s="733" t="s">
        <v>1091</v>
      </c>
      <c r="B2" s="733"/>
      <c r="C2" s="733"/>
      <c r="D2" s="733"/>
      <c r="E2" s="733"/>
      <c r="F2" s="733"/>
      <c r="G2" s="733"/>
    </row>
    <row r="3" spans="1:17">
      <c r="A3" s="150" t="s">
        <v>235</v>
      </c>
    </row>
    <row r="4" spans="1:17">
      <c r="A4" s="150"/>
      <c r="B4" s="400" t="s">
        <v>1226</v>
      </c>
    </row>
    <row r="5" spans="1:17" ht="22.5">
      <c r="A5" s="401" t="s">
        <v>237</v>
      </c>
      <c r="B5" s="400" t="s">
        <v>1227</v>
      </c>
    </row>
    <row r="6" spans="1:17" ht="22.5">
      <c r="A6" s="401" t="s">
        <v>237</v>
      </c>
      <c r="B6" s="400" t="s">
        <v>1237</v>
      </c>
    </row>
    <row r="7" spans="1:17" ht="22.5">
      <c r="A7" s="401" t="s">
        <v>237</v>
      </c>
      <c r="B7" s="400" t="s">
        <v>1236</v>
      </c>
    </row>
    <row r="8" spans="1:17">
      <c r="A8" s="150" t="s">
        <v>235</v>
      </c>
    </row>
    <row r="9" spans="1:17" ht="33.75">
      <c r="A9" s="141" t="s">
        <v>238</v>
      </c>
      <c r="B9" s="141" t="s">
        <v>240</v>
      </c>
      <c r="C9" s="141" t="s">
        <v>241</v>
      </c>
      <c r="D9" s="141" t="s">
        <v>100</v>
      </c>
      <c r="E9" s="141" t="s">
        <v>746</v>
      </c>
      <c r="F9" s="141" t="s">
        <v>74</v>
      </c>
      <c r="G9" s="141" t="s">
        <v>242</v>
      </c>
      <c r="H9" s="141" t="s">
        <v>243</v>
      </c>
      <c r="I9" s="141" t="s">
        <v>1092</v>
      </c>
      <c r="J9" s="141" t="s">
        <v>244</v>
      </c>
      <c r="K9" s="141" t="s">
        <v>245</v>
      </c>
      <c r="L9" s="141" t="s">
        <v>246</v>
      </c>
      <c r="M9" s="141" t="s">
        <v>247</v>
      </c>
      <c r="N9" s="142" t="s">
        <v>1021</v>
      </c>
      <c r="P9" s="382" t="s">
        <v>1233</v>
      </c>
      <c r="Q9" s="399" t="s">
        <v>1235</v>
      </c>
    </row>
    <row r="10" spans="1:17" ht="33.75">
      <c r="A10" s="143" t="s">
        <v>1022</v>
      </c>
      <c r="B10" s="143" t="s">
        <v>1023</v>
      </c>
      <c r="C10" s="143" t="s">
        <v>1024</v>
      </c>
      <c r="D10" s="143" t="s">
        <v>1093</v>
      </c>
      <c r="E10" s="143" t="s">
        <v>756</v>
      </c>
      <c r="F10" s="143" t="s">
        <v>1094</v>
      </c>
      <c r="G10" s="143" t="s">
        <v>1095</v>
      </c>
      <c r="H10" s="143" t="s">
        <v>1096</v>
      </c>
      <c r="I10" s="144">
        <v>-35137.550000000003</v>
      </c>
      <c r="J10" s="397"/>
      <c r="K10" s="397"/>
      <c r="L10" s="397"/>
      <c r="M10" s="397"/>
      <c r="N10" s="396">
        <v>-35137.550000000003</v>
      </c>
      <c r="P10" s="376">
        <f>IFERROR(VLOOKUP($H10,'Acq Adj - DEPR RATES'!$D$1:$G$31,4,FALSE),0)</f>
        <v>1.7399999999999999E-2</v>
      </c>
      <c r="Q10" s="395">
        <f>N10*P10</f>
        <v>-611.39337</v>
      </c>
    </row>
    <row r="11" spans="1:17" ht="33.75">
      <c r="A11" s="143" t="s">
        <v>1022</v>
      </c>
      <c r="B11" s="143" t="s">
        <v>1023</v>
      </c>
      <c r="C11" s="143" t="s">
        <v>1024</v>
      </c>
      <c r="D11" s="143" t="s">
        <v>1093</v>
      </c>
      <c r="E11" s="143" t="s">
        <v>756</v>
      </c>
      <c r="F11" s="143" t="s">
        <v>252</v>
      </c>
      <c r="G11" s="143" t="s">
        <v>253</v>
      </c>
      <c r="H11" s="143" t="s">
        <v>1097</v>
      </c>
      <c r="I11" s="144">
        <v>-8438.42</v>
      </c>
      <c r="J11" s="397"/>
      <c r="K11" s="397"/>
      <c r="L11" s="397"/>
      <c r="M11" s="397"/>
      <c r="N11" s="396">
        <v>-8438.42</v>
      </c>
      <c r="P11" s="376"/>
      <c r="Q11" s="395">
        <f>N11*P11</f>
        <v>0</v>
      </c>
    </row>
    <row r="12" spans="1:17" ht="33.75">
      <c r="A12" s="143" t="s">
        <v>1022</v>
      </c>
      <c r="B12" s="143" t="s">
        <v>1023</v>
      </c>
      <c r="C12" s="143" t="s">
        <v>1024</v>
      </c>
      <c r="D12" s="143" t="s">
        <v>1093</v>
      </c>
      <c r="E12" s="143" t="s">
        <v>756</v>
      </c>
      <c r="F12" s="143" t="s">
        <v>256</v>
      </c>
      <c r="G12" s="143" t="s">
        <v>257</v>
      </c>
      <c r="H12" s="143" t="s">
        <v>1098</v>
      </c>
      <c r="I12" s="144">
        <v>-8407.1299999999992</v>
      </c>
      <c r="J12" s="397"/>
      <c r="K12" s="397"/>
      <c r="L12" s="397"/>
      <c r="M12" s="397"/>
      <c r="N12" s="396">
        <v>-8407.1299999999992</v>
      </c>
      <c r="P12" s="376">
        <f>IFERROR(VLOOKUP($H12,'Acq Adj - DEPR RATES'!$D$1:$G$31,4,FALSE),0)</f>
        <v>1.04E-2</v>
      </c>
      <c r="Q12" s="395">
        <f>N12*P12</f>
        <v>-87.434151999999983</v>
      </c>
    </row>
    <row r="13" spans="1:17" ht="33.75">
      <c r="A13" s="143" t="s">
        <v>1022</v>
      </c>
      <c r="B13" s="143" t="s">
        <v>1023</v>
      </c>
      <c r="C13" s="143" t="s">
        <v>1024</v>
      </c>
      <c r="D13" s="143" t="s">
        <v>1093</v>
      </c>
      <c r="E13" s="143" t="s">
        <v>756</v>
      </c>
      <c r="F13" s="143" t="s">
        <v>248</v>
      </c>
      <c r="G13" s="143" t="s">
        <v>249</v>
      </c>
      <c r="H13" s="143" t="s">
        <v>1099</v>
      </c>
      <c r="I13" s="144">
        <v>-34391.279999999999</v>
      </c>
      <c r="J13" s="397"/>
      <c r="K13" s="397"/>
      <c r="L13" s="397"/>
      <c r="M13" s="397"/>
      <c r="N13" s="396">
        <v>-34391.279999999999</v>
      </c>
      <c r="P13" s="376"/>
      <c r="Q13" s="395">
        <f>N13*P13</f>
        <v>0</v>
      </c>
    </row>
    <row r="14" spans="1:17" ht="33.75">
      <c r="A14" s="143" t="s">
        <v>1022</v>
      </c>
      <c r="B14" s="143" t="s">
        <v>1023</v>
      </c>
      <c r="C14" s="146" t="s">
        <v>1100</v>
      </c>
      <c r="D14" s="147"/>
      <c r="E14" s="147"/>
      <c r="F14" s="147"/>
      <c r="G14" s="147"/>
      <c r="H14" s="147"/>
      <c r="I14" s="148">
        <v>-86374.38</v>
      </c>
      <c r="J14" s="394"/>
      <c r="K14" s="394"/>
      <c r="L14" s="394"/>
      <c r="M14" s="394"/>
      <c r="N14" s="393">
        <v>-86374.38</v>
      </c>
      <c r="P14" s="368"/>
      <c r="Q14" s="392">
        <f>SUM(Q10:Q13)</f>
        <v>-698.82752200000004</v>
      </c>
    </row>
    <row r="15" spans="1:17" ht="33.75">
      <c r="A15" s="143" t="s">
        <v>1022</v>
      </c>
      <c r="B15" s="143" t="s">
        <v>1023</v>
      </c>
      <c r="C15" s="143" t="s">
        <v>1025</v>
      </c>
      <c r="D15" s="143" t="s">
        <v>1093</v>
      </c>
      <c r="E15" s="143" t="s">
        <v>756</v>
      </c>
      <c r="F15" s="143" t="s">
        <v>248</v>
      </c>
      <c r="G15" s="143" t="s">
        <v>249</v>
      </c>
      <c r="H15" s="143" t="s">
        <v>1101</v>
      </c>
      <c r="I15" s="144">
        <v>-550.20000000000005</v>
      </c>
      <c r="J15" s="397"/>
      <c r="K15" s="397"/>
      <c r="L15" s="397"/>
      <c r="M15" s="397"/>
      <c r="N15" s="396">
        <v>-550.20000000000005</v>
      </c>
      <c r="P15" s="376">
        <f>IFERROR(VLOOKUP($H15,'Acq Adj - DEPR RATES'!$D$1:$G$31,4,FALSE),0)</f>
        <v>1.9199999999999998E-2</v>
      </c>
      <c r="Q15" s="395">
        <f>N15*P15</f>
        <v>-10.563840000000001</v>
      </c>
    </row>
    <row r="16" spans="1:17" ht="45">
      <c r="A16" s="143" t="s">
        <v>1022</v>
      </c>
      <c r="B16" s="143" t="s">
        <v>1023</v>
      </c>
      <c r="C16" s="146" t="s">
        <v>1102</v>
      </c>
      <c r="D16" s="147"/>
      <c r="E16" s="147"/>
      <c r="F16" s="147"/>
      <c r="G16" s="147"/>
      <c r="H16" s="147"/>
      <c r="I16" s="148">
        <v>-550.20000000000005</v>
      </c>
      <c r="J16" s="394"/>
      <c r="K16" s="394"/>
      <c r="L16" s="394"/>
      <c r="M16" s="394"/>
      <c r="N16" s="393">
        <v>-550.20000000000005</v>
      </c>
      <c r="P16" s="368"/>
      <c r="Q16" s="392">
        <f>SUM(Q15)</f>
        <v>-10.563840000000001</v>
      </c>
    </row>
    <row r="17" spans="1:18" ht="33.75">
      <c r="A17" s="143" t="s">
        <v>1022</v>
      </c>
      <c r="B17" s="143" t="s">
        <v>1023</v>
      </c>
      <c r="C17" s="143" t="s">
        <v>1026</v>
      </c>
      <c r="D17" s="143" t="s">
        <v>1093</v>
      </c>
      <c r="E17" s="143" t="s">
        <v>756</v>
      </c>
      <c r="F17" s="143" t="s">
        <v>248</v>
      </c>
      <c r="G17" s="143" t="s">
        <v>249</v>
      </c>
      <c r="H17" s="143" t="s">
        <v>1103</v>
      </c>
      <c r="I17" s="144">
        <v>-39243723.039999999</v>
      </c>
      <c r="J17" s="397"/>
      <c r="K17" s="397"/>
      <c r="L17" s="397"/>
      <c r="M17" s="397"/>
      <c r="N17" s="396">
        <v>-39243723.039999999</v>
      </c>
      <c r="P17" s="376">
        <f>IFERROR(VLOOKUP($H17,'Acq Adj - DEPR RATES'!$D$1:$G$31,4,FALSE),0)</f>
        <v>1.7399999999999999E-2</v>
      </c>
      <c r="Q17" s="395">
        <f>N17*P17</f>
        <v>-682840.78089599998</v>
      </c>
    </row>
    <row r="18" spans="1:18" ht="22.5">
      <c r="A18" s="143" t="s">
        <v>1022</v>
      </c>
      <c r="B18" s="143" t="s">
        <v>1023</v>
      </c>
      <c r="C18" s="146" t="s">
        <v>1104</v>
      </c>
      <c r="D18" s="147"/>
      <c r="E18" s="147"/>
      <c r="F18" s="147"/>
      <c r="G18" s="147"/>
      <c r="H18" s="147"/>
      <c r="I18" s="148">
        <v>-39243723.039999999</v>
      </c>
      <c r="J18" s="394"/>
      <c r="K18" s="394"/>
      <c r="L18" s="394"/>
      <c r="M18" s="394"/>
      <c r="N18" s="393">
        <v>-39243723.039999999</v>
      </c>
      <c r="P18" s="368"/>
      <c r="Q18" s="392">
        <f>SUM(Q17)</f>
        <v>-682840.78089599998</v>
      </c>
    </row>
    <row r="19" spans="1:18" ht="33.75">
      <c r="A19" s="143" t="s">
        <v>1022</v>
      </c>
      <c r="B19" s="143" t="s">
        <v>1023</v>
      </c>
      <c r="C19" s="143" t="s">
        <v>1027</v>
      </c>
      <c r="D19" s="143" t="s">
        <v>1093</v>
      </c>
      <c r="E19" s="143" t="s">
        <v>756</v>
      </c>
      <c r="F19" s="143" t="s">
        <v>248</v>
      </c>
      <c r="G19" s="143" t="s">
        <v>249</v>
      </c>
      <c r="H19" s="143" t="s">
        <v>1105</v>
      </c>
      <c r="I19" s="144">
        <v>-419800.79</v>
      </c>
      <c r="J19" s="397"/>
      <c r="K19" s="397"/>
      <c r="L19" s="397"/>
      <c r="M19" s="397"/>
      <c r="N19" s="396">
        <v>-419800.79</v>
      </c>
      <c r="P19" s="376">
        <f>IFERROR(VLOOKUP($H19,'Acq Adj - DEPR RATES'!$D$1:$G$31,4,FALSE),0)</f>
        <v>2.4E-2</v>
      </c>
      <c r="Q19" s="395">
        <f>N19*P19</f>
        <v>-10075.21896</v>
      </c>
    </row>
    <row r="20" spans="1:18" ht="33.75">
      <c r="A20" s="143" t="s">
        <v>1022</v>
      </c>
      <c r="B20" s="143" t="s">
        <v>1023</v>
      </c>
      <c r="C20" s="146" t="s">
        <v>1106</v>
      </c>
      <c r="D20" s="147"/>
      <c r="E20" s="147"/>
      <c r="F20" s="147"/>
      <c r="G20" s="147"/>
      <c r="H20" s="147"/>
      <c r="I20" s="148">
        <v>-419800.79</v>
      </c>
      <c r="J20" s="394"/>
      <c r="K20" s="394"/>
      <c r="L20" s="394"/>
      <c r="M20" s="394"/>
      <c r="N20" s="393">
        <v>-419800.79</v>
      </c>
      <c r="P20" s="368"/>
      <c r="Q20" s="392">
        <f>SUM(Q19)</f>
        <v>-10075.21896</v>
      </c>
    </row>
    <row r="21" spans="1:18" ht="33.75">
      <c r="A21" s="143" t="s">
        <v>1022</v>
      </c>
      <c r="B21" s="143" t="s">
        <v>1023</v>
      </c>
      <c r="C21" s="143" t="s">
        <v>1028</v>
      </c>
      <c r="D21" s="143" t="s">
        <v>1093</v>
      </c>
      <c r="E21" s="143" t="s">
        <v>756</v>
      </c>
      <c r="F21" s="143" t="s">
        <v>248</v>
      </c>
      <c r="G21" s="143" t="s">
        <v>249</v>
      </c>
      <c r="H21" s="143" t="s">
        <v>1107</v>
      </c>
      <c r="I21" s="144">
        <v>-533526.47</v>
      </c>
      <c r="J21" s="397"/>
      <c r="K21" s="397"/>
      <c r="L21" s="397"/>
      <c r="M21" s="397"/>
      <c r="N21" s="396">
        <v>-533526.47</v>
      </c>
      <c r="P21" s="376">
        <f>IFERROR(VLOOKUP($H21,'Acq Adj - DEPR RATES'!$D$1:$G$31,4,FALSE),0)</f>
        <v>2.4E-2</v>
      </c>
      <c r="Q21" s="395">
        <f>N21*P21</f>
        <v>-12804.63528</v>
      </c>
    </row>
    <row r="22" spans="1:18" ht="33.75">
      <c r="A22" s="143" t="s">
        <v>1022</v>
      </c>
      <c r="B22" s="143" t="s">
        <v>1023</v>
      </c>
      <c r="C22" s="146" t="s">
        <v>1108</v>
      </c>
      <c r="D22" s="147"/>
      <c r="E22" s="147"/>
      <c r="F22" s="147"/>
      <c r="G22" s="147"/>
      <c r="H22" s="147"/>
      <c r="I22" s="148">
        <v>-533526.47</v>
      </c>
      <c r="J22" s="394"/>
      <c r="K22" s="394"/>
      <c r="L22" s="394"/>
      <c r="M22" s="394"/>
      <c r="N22" s="393">
        <v>-533526.47</v>
      </c>
      <c r="P22" s="368"/>
      <c r="Q22" s="392">
        <f>SUM(Q21)</f>
        <v>-12804.63528</v>
      </c>
    </row>
    <row r="23" spans="1:18" ht="33.75">
      <c r="A23" s="143" t="s">
        <v>1022</v>
      </c>
      <c r="B23" s="143" t="s">
        <v>1023</v>
      </c>
      <c r="C23" s="143" t="s">
        <v>1029</v>
      </c>
      <c r="D23" s="143" t="s">
        <v>1093</v>
      </c>
      <c r="E23" s="143" t="s">
        <v>756</v>
      </c>
      <c r="F23" s="143" t="s">
        <v>248</v>
      </c>
      <c r="G23" s="143" t="s">
        <v>249</v>
      </c>
      <c r="H23" s="143" t="s">
        <v>1109</v>
      </c>
      <c r="I23" s="144">
        <v>-14788354.17</v>
      </c>
      <c r="J23" s="397"/>
      <c r="K23" s="397"/>
      <c r="L23" s="397"/>
      <c r="M23" s="397"/>
      <c r="N23" s="396">
        <v>-14788354.17</v>
      </c>
      <c r="P23" s="376">
        <f>IFERROR(VLOOKUP($H23,'Acq Adj - DEPR RATES'!$D$1:$G$31,4,FALSE),0)</f>
        <v>1.9099999999999999E-2</v>
      </c>
      <c r="Q23" s="395">
        <f>N23*P23</f>
        <v>-282457.56464699999</v>
      </c>
    </row>
    <row r="24" spans="1:18" ht="22.5">
      <c r="A24" s="143" t="s">
        <v>1022</v>
      </c>
      <c r="B24" s="143" t="s">
        <v>1023</v>
      </c>
      <c r="C24" s="146" t="s">
        <v>1110</v>
      </c>
      <c r="D24" s="147"/>
      <c r="E24" s="147"/>
      <c r="F24" s="147"/>
      <c r="G24" s="147"/>
      <c r="H24" s="147"/>
      <c r="I24" s="148">
        <v>-14788354.17</v>
      </c>
      <c r="J24" s="394"/>
      <c r="K24" s="394"/>
      <c r="L24" s="394"/>
      <c r="M24" s="394"/>
      <c r="N24" s="393">
        <v>-14788354.17</v>
      </c>
      <c r="P24" s="368"/>
      <c r="Q24" s="392">
        <f>SUM(Q23)</f>
        <v>-282457.56464699999</v>
      </c>
    </row>
    <row r="25" spans="1:18" ht="33.75">
      <c r="A25" s="143" t="s">
        <v>1022</v>
      </c>
      <c r="B25" s="143" t="s">
        <v>1023</v>
      </c>
      <c r="C25" s="143" t="s">
        <v>1030</v>
      </c>
      <c r="D25" s="143" t="s">
        <v>1093</v>
      </c>
      <c r="E25" s="143" t="s">
        <v>756</v>
      </c>
      <c r="F25" s="143" t="s">
        <v>248</v>
      </c>
      <c r="G25" s="143" t="s">
        <v>249</v>
      </c>
      <c r="H25" s="143" t="s">
        <v>1111</v>
      </c>
      <c r="I25" s="144">
        <v>-2585550.59</v>
      </c>
      <c r="J25" s="397"/>
      <c r="K25" s="397"/>
      <c r="L25" s="397"/>
      <c r="M25" s="397"/>
      <c r="N25" s="396">
        <v>-2585550.59</v>
      </c>
      <c r="P25" s="376">
        <f>IFERROR(VLOOKUP($H25,'Acq Adj - DEPR RATES'!$D$1:$G$31,4,FALSE),0)</f>
        <v>2.3599999999999999E-2</v>
      </c>
      <c r="Q25" s="395">
        <f>N25*P25</f>
        <v>-61018.993923999995</v>
      </c>
    </row>
    <row r="26" spans="1:18" ht="22.5">
      <c r="A26" s="143" t="s">
        <v>1022</v>
      </c>
      <c r="B26" s="143" t="s">
        <v>1023</v>
      </c>
      <c r="C26" s="146" t="s">
        <v>1112</v>
      </c>
      <c r="D26" s="147"/>
      <c r="E26" s="147"/>
      <c r="F26" s="147"/>
      <c r="G26" s="147"/>
      <c r="H26" s="147"/>
      <c r="I26" s="148">
        <v>-2585550.59</v>
      </c>
      <c r="J26" s="394"/>
      <c r="K26" s="394"/>
      <c r="L26" s="394"/>
      <c r="M26" s="394"/>
      <c r="N26" s="393">
        <v>-2585550.59</v>
      </c>
      <c r="P26" s="368"/>
      <c r="Q26" s="392">
        <f>SUM(Q25)</f>
        <v>-61018.993923999995</v>
      </c>
    </row>
    <row r="27" spans="1:18" ht="33.75">
      <c r="A27" s="143" t="s">
        <v>1022</v>
      </c>
      <c r="B27" s="143" t="s">
        <v>1023</v>
      </c>
      <c r="C27" s="143" t="s">
        <v>1031</v>
      </c>
      <c r="D27" s="143" t="s">
        <v>1093</v>
      </c>
      <c r="E27" s="143" t="s">
        <v>756</v>
      </c>
      <c r="F27" s="143" t="s">
        <v>248</v>
      </c>
      <c r="G27" s="143" t="s">
        <v>249</v>
      </c>
      <c r="H27" s="143" t="s">
        <v>1113</v>
      </c>
      <c r="I27" s="144">
        <v>-1658681.04</v>
      </c>
      <c r="J27" s="397"/>
      <c r="K27" s="397"/>
      <c r="L27" s="397"/>
      <c r="M27" s="397"/>
      <c r="N27" s="396">
        <v>-1658681.04</v>
      </c>
      <c r="P27" s="376">
        <f>IFERROR(VLOOKUP($H27,'Acq Adj - DEPR RATES'!$D$1:$G$31,4,FALSE),0)</f>
        <v>2.3599999999999999E-2</v>
      </c>
      <c r="Q27" s="395">
        <f>N27*P27</f>
        <v>-39144.872543999998</v>
      </c>
    </row>
    <row r="28" spans="1:18" ht="33.75">
      <c r="A28" s="143" t="s">
        <v>1022</v>
      </c>
      <c r="B28" s="143" t="s">
        <v>1023</v>
      </c>
      <c r="C28" s="146" t="s">
        <v>1114</v>
      </c>
      <c r="D28" s="147"/>
      <c r="E28" s="147"/>
      <c r="F28" s="147"/>
      <c r="G28" s="147"/>
      <c r="H28" s="147"/>
      <c r="I28" s="148">
        <v>-1658681.04</v>
      </c>
      <c r="J28" s="394"/>
      <c r="K28" s="394"/>
      <c r="L28" s="394"/>
      <c r="M28" s="394"/>
      <c r="N28" s="393">
        <v>-1658681.04</v>
      </c>
      <c r="P28" s="368"/>
      <c r="Q28" s="392">
        <f>SUM(Q27)</f>
        <v>-39144.872543999998</v>
      </c>
    </row>
    <row r="29" spans="1:18" ht="33.75">
      <c r="A29" s="143" t="s">
        <v>1022</v>
      </c>
      <c r="B29" s="143" t="s">
        <v>1023</v>
      </c>
      <c r="C29" s="143" t="s">
        <v>1032</v>
      </c>
      <c r="D29" s="143" t="s">
        <v>1093</v>
      </c>
      <c r="E29" s="143" t="s">
        <v>756</v>
      </c>
      <c r="F29" s="143" t="s">
        <v>248</v>
      </c>
      <c r="G29" s="143" t="s">
        <v>249</v>
      </c>
      <c r="H29" s="143" t="s">
        <v>1115</v>
      </c>
      <c r="I29" s="144">
        <v>-397968.92</v>
      </c>
      <c r="J29" s="397"/>
      <c r="K29" s="397"/>
      <c r="L29" s="397"/>
      <c r="M29" s="397"/>
      <c r="N29" s="396">
        <v>-397968.92</v>
      </c>
      <c r="P29" s="376">
        <f>IFERROR(VLOOKUP($H29,'Acq Adj - DEPR RATES'!$D$1:$G$31,4,FALSE),0)</f>
        <v>2.58E-2</v>
      </c>
      <c r="Q29" s="395">
        <f>N29*P29</f>
        <v>-10267.598135999999</v>
      </c>
    </row>
    <row r="30" spans="1:18" ht="22.5">
      <c r="A30" s="143" t="s">
        <v>1022</v>
      </c>
      <c r="B30" s="143" t="s">
        <v>1023</v>
      </c>
      <c r="C30" s="146" t="s">
        <v>1116</v>
      </c>
      <c r="D30" s="147"/>
      <c r="E30" s="147"/>
      <c r="F30" s="147"/>
      <c r="G30" s="147"/>
      <c r="H30" s="147"/>
      <c r="I30" s="148">
        <v>-397968.92</v>
      </c>
      <c r="J30" s="394"/>
      <c r="K30" s="394"/>
      <c r="L30" s="394"/>
      <c r="M30" s="394"/>
      <c r="N30" s="393">
        <v>-397968.92</v>
      </c>
      <c r="P30" s="368"/>
      <c r="Q30" s="392">
        <f>SUM(Q29)</f>
        <v>-10267.598135999999</v>
      </c>
    </row>
    <row r="31" spans="1:18" ht="33.75">
      <c r="A31" s="143" t="s">
        <v>1022</v>
      </c>
      <c r="B31" s="143" t="s">
        <v>1023</v>
      </c>
      <c r="C31" s="143" t="s">
        <v>1033</v>
      </c>
      <c r="D31" s="143" t="s">
        <v>1093</v>
      </c>
      <c r="E31" s="143" t="s">
        <v>756</v>
      </c>
      <c r="F31" s="143" t="s">
        <v>248</v>
      </c>
      <c r="G31" s="143" t="s">
        <v>249</v>
      </c>
      <c r="H31" s="143" t="s">
        <v>1117</v>
      </c>
      <c r="I31" s="144">
        <v>-183202.09</v>
      </c>
      <c r="J31" s="397"/>
      <c r="K31" s="397"/>
      <c r="L31" s="397"/>
      <c r="M31" s="397"/>
      <c r="N31" s="396">
        <v>-183202.09</v>
      </c>
      <c r="P31" s="376">
        <f>IFERROR(VLOOKUP($H31,'Acq Adj - DEPR RATES'!$D$1:$G$31,4,FALSE),0)</f>
        <v>2.76E-2</v>
      </c>
      <c r="Q31" s="395">
        <f>N31*P31</f>
        <v>-5056.377684</v>
      </c>
    </row>
    <row r="32" spans="1:18" ht="33.75">
      <c r="A32" s="143" t="s">
        <v>1022</v>
      </c>
      <c r="B32" s="143" t="s">
        <v>1023</v>
      </c>
      <c r="C32" s="146" t="s">
        <v>1118</v>
      </c>
      <c r="D32" s="147"/>
      <c r="E32" s="147"/>
      <c r="F32" s="147"/>
      <c r="G32" s="147"/>
      <c r="H32" s="147"/>
      <c r="I32" s="148">
        <v>-183202.09</v>
      </c>
      <c r="J32" s="394"/>
      <c r="K32" s="394"/>
      <c r="L32" s="394"/>
      <c r="M32" s="394"/>
      <c r="N32" s="393">
        <v>-183202.09</v>
      </c>
      <c r="P32" s="368"/>
      <c r="Q32" s="392">
        <f>SUM(Q31)</f>
        <v>-5056.377684</v>
      </c>
      <c r="R32" s="398"/>
    </row>
    <row r="33" spans="1:17" ht="33.75">
      <c r="A33" s="143" t="s">
        <v>1022</v>
      </c>
      <c r="B33" s="143" t="s">
        <v>1023</v>
      </c>
      <c r="C33" s="143" t="s">
        <v>1034</v>
      </c>
      <c r="D33" s="143" t="s">
        <v>1093</v>
      </c>
      <c r="E33" s="143" t="s">
        <v>756</v>
      </c>
      <c r="F33" s="143" t="s">
        <v>248</v>
      </c>
      <c r="G33" s="143" t="s">
        <v>249</v>
      </c>
      <c r="H33" s="143" t="s">
        <v>1119</v>
      </c>
      <c r="I33" s="144">
        <v>-237062.45</v>
      </c>
      <c r="J33" s="397"/>
      <c r="K33" s="397"/>
      <c r="L33" s="397"/>
      <c r="M33" s="397"/>
      <c r="N33" s="396">
        <v>-237062.45</v>
      </c>
      <c r="P33" s="376">
        <f>IFERROR(VLOOKUP($H33,'Acq Adj - DEPR RATES'!$D$1:$G$31,4,FALSE),0)</f>
        <v>2.1100000000000001E-2</v>
      </c>
      <c r="Q33" s="395">
        <f>N33*P33</f>
        <v>-5002.0176950000005</v>
      </c>
    </row>
    <row r="34" spans="1:17" ht="33.75">
      <c r="A34" s="143" t="s">
        <v>1022</v>
      </c>
      <c r="B34" s="143" t="s">
        <v>1023</v>
      </c>
      <c r="C34" s="146" t="s">
        <v>1120</v>
      </c>
      <c r="D34" s="147"/>
      <c r="E34" s="147"/>
      <c r="F34" s="147"/>
      <c r="G34" s="147"/>
      <c r="H34" s="147"/>
      <c r="I34" s="148">
        <v>-237062.45</v>
      </c>
      <c r="J34" s="394"/>
      <c r="K34" s="394"/>
      <c r="L34" s="394"/>
      <c r="M34" s="394"/>
      <c r="N34" s="393">
        <v>-237062.45</v>
      </c>
      <c r="P34" s="368"/>
      <c r="Q34" s="392">
        <f>SUM(Q33)</f>
        <v>-5002.0176950000005</v>
      </c>
    </row>
    <row r="35" spans="1:17" ht="33.75">
      <c r="A35" s="143" t="s">
        <v>1022</v>
      </c>
      <c r="B35" s="143" t="s">
        <v>1023</v>
      </c>
      <c r="C35" s="143" t="s">
        <v>1035</v>
      </c>
      <c r="D35" s="143" t="s">
        <v>1093</v>
      </c>
      <c r="E35" s="143" t="s">
        <v>756</v>
      </c>
      <c r="F35" s="143" t="s">
        <v>248</v>
      </c>
      <c r="G35" s="143" t="s">
        <v>249</v>
      </c>
      <c r="H35" s="143" t="s">
        <v>1121</v>
      </c>
      <c r="I35" s="144">
        <v>-325251.59000000003</v>
      </c>
      <c r="J35" s="397"/>
      <c r="K35" s="397"/>
      <c r="L35" s="397"/>
      <c r="M35" s="397"/>
      <c r="N35" s="396">
        <v>-325251.59000000003</v>
      </c>
      <c r="P35" s="376">
        <f>IFERROR(VLOOKUP($H35,'Acq Adj - DEPR RATES'!$D$1:$G$31,4,FALSE),0)</f>
        <v>3.0200000000000001E-2</v>
      </c>
      <c r="Q35" s="395">
        <f>N35*P35</f>
        <v>-9822.5980180000006</v>
      </c>
    </row>
    <row r="36" spans="1:17" ht="33.75">
      <c r="A36" s="143" t="s">
        <v>1022</v>
      </c>
      <c r="B36" s="143" t="s">
        <v>1023</v>
      </c>
      <c r="C36" s="146" t="s">
        <v>1122</v>
      </c>
      <c r="D36" s="147"/>
      <c r="E36" s="147"/>
      <c r="F36" s="147"/>
      <c r="G36" s="147"/>
      <c r="H36" s="147"/>
      <c r="I36" s="148">
        <v>-325251.59000000003</v>
      </c>
      <c r="J36" s="394"/>
      <c r="K36" s="394"/>
      <c r="L36" s="394"/>
      <c r="M36" s="394"/>
      <c r="N36" s="393">
        <v>-325251.59000000003</v>
      </c>
      <c r="P36" s="368"/>
      <c r="Q36" s="392">
        <f>SUM(Q35)</f>
        <v>-9822.5980180000006</v>
      </c>
    </row>
    <row r="37" spans="1:17">
      <c r="A37" s="143" t="s">
        <v>1022</v>
      </c>
      <c r="B37" s="146" t="s">
        <v>1036</v>
      </c>
      <c r="C37" s="147"/>
      <c r="D37" s="147"/>
      <c r="E37" s="147"/>
      <c r="F37" s="147"/>
      <c r="G37" s="147"/>
      <c r="H37" s="147"/>
      <c r="I37" s="148">
        <v>-60460045.729999997</v>
      </c>
      <c r="J37" s="394"/>
      <c r="K37" s="394"/>
      <c r="L37" s="394"/>
      <c r="M37" s="394"/>
      <c r="N37" s="393">
        <v>-60460045.729999997</v>
      </c>
      <c r="P37" s="368"/>
      <c r="Q37" s="392">
        <f>Q36+Q34+Q32+Q30+Q28+Q26+Q24+Q22+Q20+Q18+Q16+Q14</f>
        <v>-1119200.0491460001</v>
      </c>
    </row>
    <row r="38" spans="1:17" ht="33.75">
      <c r="A38" s="143" t="s">
        <v>1022</v>
      </c>
      <c r="B38" s="143" t="s">
        <v>1037</v>
      </c>
      <c r="C38" s="143" t="s">
        <v>1038</v>
      </c>
      <c r="D38" s="143" t="s">
        <v>1093</v>
      </c>
      <c r="E38" s="143" t="s">
        <v>756</v>
      </c>
      <c r="F38" s="143" t="s">
        <v>252</v>
      </c>
      <c r="G38" s="143" t="s">
        <v>253</v>
      </c>
      <c r="H38" s="143" t="s">
        <v>1123</v>
      </c>
      <c r="I38" s="144">
        <v>-12493.43</v>
      </c>
      <c r="J38" s="397"/>
      <c r="K38" s="397"/>
      <c r="L38" s="397"/>
      <c r="M38" s="397"/>
      <c r="N38" s="396">
        <v>-12493.43</v>
      </c>
      <c r="P38" s="376"/>
      <c r="Q38" s="395">
        <f>N38*P38</f>
        <v>0</v>
      </c>
    </row>
    <row r="39" spans="1:17" ht="33.75">
      <c r="A39" s="143" t="s">
        <v>1022</v>
      </c>
      <c r="B39" s="143" t="s">
        <v>1037</v>
      </c>
      <c r="C39" s="143" t="s">
        <v>1038</v>
      </c>
      <c r="D39" s="143" t="s">
        <v>1093</v>
      </c>
      <c r="E39" s="143" t="s">
        <v>756</v>
      </c>
      <c r="F39" s="143" t="s">
        <v>256</v>
      </c>
      <c r="G39" s="143" t="s">
        <v>257</v>
      </c>
      <c r="H39" s="143" t="s">
        <v>1124</v>
      </c>
      <c r="I39" s="144">
        <v>-97077.15</v>
      </c>
      <c r="J39" s="397"/>
      <c r="K39" s="397"/>
      <c r="L39" s="397"/>
      <c r="M39" s="397"/>
      <c r="N39" s="396">
        <v>-97077.15</v>
      </c>
      <c r="P39" s="376">
        <f>IFERROR(VLOOKUP($H39,'Acq Adj - DEPR RATES'!$D$1:$G$31,4,FALSE),0)</f>
        <v>4.9299999999999997E-2</v>
      </c>
      <c r="Q39" s="395">
        <f>N39*P39</f>
        <v>-4785.9034949999996</v>
      </c>
    </row>
    <row r="40" spans="1:17" ht="33.75">
      <c r="A40" s="143" t="s">
        <v>1022</v>
      </c>
      <c r="B40" s="143" t="s">
        <v>1037</v>
      </c>
      <c r="C40" s="146" t="s">
        <v>1125</v>
      </c>
      <c r="D40" s="147"/>
      <c r="E40" s="147"/>
      <c r="F40" s="147"/>
      <c r="G40" s="147"/>
      <c r="H40" s="147"/>
      <c r="I40" s="148">
        <v>-109570.58</v>
      </c>
      <c r="J40" s="394"/>
      <c r="K40" s="394"/>
      <c r="L40" s="394"/>
      <c r="M40" s="394"/>
      <c r="N40" s="393">
        <v>-109570.58</v>
      </c>
      <c r="P40" s="368"/>
      <c r="Q40" s="392">
        <f>SUM(Q38:Q39)</f>
        <v>-4785.9034949999996</v>
      </c>
    </row>
    <row r="41" spans="1:17" ht="33.75">
      <c r="A41" s="143" t="s">
        <v>1022</v>
      </c>
      <c r="B41" s="143" t="s">
        <v>1037</v>
      </c>
      <c r="C41" s="143" t="s">
        <v>1039</v>
      </c>
      <c r="D41" s="143" t="s">
        <v>1093</v>
      </c>
      <c r="E41" s="143" t="s">
        <v>756</v>
      </c>
      <c r="F41" s="143" t="s">
        <v>248</v>
      </c>
      <c r="G41" s="143" t="s">
        <v>249</v>
      </c>
      <c r="H41" s="143" t="s">
        <v>1126</v>
      </c>
      <c r="I41" s="144">
        <v>-273962.11</v>
      </c>
      <c r="J41" s="397"/>
      <c r="K41" s="397"/>
      <c r="L41" s="397"/>
      <c r="M41" s="397"/>
      <c r="N41" s="396">
        <v>-273962.11</v>
      </c>
      <c r="P41" s="376">
        <f>IFERROR(VLOOKUP($H41,'Acq Adj - DEPR RATES'!$D$1:$G$31,4,FALSE),0)</f>
        <v>3.6299999999999999E-2</v>
      </c>
      <c r="Q41" s="395">
        <f>N41*P41</f>
        <v>-9944.8245929999994</v>
      </c>
    </row>
    <row r="42" spans="1:17" ht="45">
      <c r="A42" s="143" t="s">
        <v>1022</v>
      </c>
      <c r="B42" s="143" t="s">
        <v>1037</v>
      </c>
      <c r="C42" s="146" t="s">
        <v>1127</v>
      </c>
      <c r="D42" s="147"/>
      <c r="E42" s="147"/>
      <c r="F42" s="147"/>
      <c r="G42" s="147"/>
      <c r="H42" s="147"/>
      <c r="I42" s="148">
        <v>-273962.11</v>
      </c>
      <c r="J42" s="394"/>
      <c r="K42" s="394"/>
      <c r="L42" s="394"/>
      <c r="M42" s="394"/>
      <c r="N42" s="393">
        <v>-273962.11</v>
      </c>
      <c r="P42" s="368"/>
      <c r="Q42" s="392">
        <f>SUM(Q41)</f>
        <v>-9944.8245929999994</v>
      </c>
    </row>
    <row r="43" spans="1:17" ht="33.75">
      <c r="A43" s="143" t="s">
        <v>1022</v>
      </c>
      <c r="B43" s="143" t="s">
        <v>1037</v>
      </c>
      <c r="C43" s="143" t="s">
        <v>1040</v>
      </c>
      <c r="D43" s="143" t="s">
        <v>1093</v>
      </c>
      <c r="E43" s="143" t="s">
        <v>756</v>
      </c>
      <c r="F43" s="143" t="s">
        <v>282</v>
      </c>
      <c r="G43" s="143" t="s">
        <v>283</v>
      </c>
      <c r="H43" s="143" t="s">
        <v>1128</v>
      </c>
      <c r="I43" s="144">
        <v>0</v>
      </c>
      <c r="J43" s="397"/>
      <c r="K43" s="397"/>
      <c r="L43" s="397"/>
      <c r="M43" s="397"/>
      <c r="N43" s="396">
        <v>0</v>
      </c>
      <c r="P43" s="376">
        <f>IFERROR(VLOOKUP($H43,'Acq Adj - DEPR RATES'!$D$1:$G$31,4,FALSE),0)</f>
        <v>4.5499999999999999E-2</v>
      </c>
      <c r="Q43" s="395">
        <f>N43*P43</f>
        <v>0</v>
      </c>
    </row>
    <row r="44" spans="1:17" ht="33.75">
      <c r="A44" s="143" t="s">
        <v>1022</v>
      </c>
      <c r="B44" s="143" t="s">
        <v>1037</v>
      </c>
      <c r="C44" s="146" t="s">
        <v>1129</v>
      </c>
      <c r="D44" s="147"/>
      <c r="E44" s="147"/>
      <c r="F44" s="147"/>
      <c r="G44" s="147"/>
      <c r="H44" s="147"/>
      <c r="I44" s="148">
        <v>0</v>
      </c>
      <c r="J44" s="394"/>
      <c r="K44" s="394"/>
      <c r="L44" s="394"/>
      <c r="M44" s="394"/>
      <c r="N44" s="393">
        <v>0</v>
      </c>
      <c r="P44" s="368"/>
      <c r="Q44" s="392">
        <f>SUM(Q43)</f>
        <v>0</v>
      </c>
    </row>
    <row r="45" spans="1:17" ht="33.75">
      <c r="A45" s="143" t="s">
        <v>1022</v>
      </c>
      <c r="B45" s="143" t="s">
        <v>1037</v>
      </c>
      <c r="C45" s="143" t="s">
        <v>1042</v>
      </c>
      <c r="D45" s="143" t="s">
        <v>1093</v>
      </c>
      <c r="E45" s="143" t="s">
        <v>756</v>
      </c>
      <c r="F45" s="143" t="s">
        <v>248</v>
      </c>
      <c r="G45" s="143" t="s">
        <v>249</v>
      </c>
      <c r="H45" s="143" t="s">
        <v>1130</v>
      </c>
      <c r="I45" s="144">
        <v>-39584.58</v>
      </c>
      <c r="J45" s="397"/>
      <c r="K45" s="397"/>
      <c r="L45" s="397"/>
      <c r="M45" s="397"/>
      <c r="N45" s="396">
        <v>-39584.58</v>
      </c>
      <c r="P45" s="376">
        <f>IFERROR(VLOOKUP($H45,'Acq Adj - DEPR RATES'!$D$1:$G$31,4,FALSE),0)</f>
        <v>2.86E-2</v>
      </c>
      <c r="Q45" s="395">
        <f>N45*P45</f>
        <v>-1132.1189880000002</v>
      </c>
    </row>
    <row r="46" spans="1:17" ht="33.75">
      <c r="A46" s="143" t="s">
        <v>1022</v>
      </c>
      <c r="B46" s="143" t="s">
        <v>1037</v>
      </c>
      <c r="C46" s="146" t="s">
        <v>1131</v>
      </c>
      <c r="D46" s="147"/>
      <c r="E46" s="147"/>
      <c r="F46" s="147"/>
      <c r="G46" s="147"/>
      <c r="H46" s="147"/>
      <c r="I46" s="148">
        <v>-39584.58</v>
      </c>
      <c r="J46" s="394"/>
      <c r="K46" s="394"/>
      <c r="L46" s="394"/>
      <c r="M46" s="394"/>
      <c r="N46" s="393">
        <v>-39584.58</v>
      </c>
      <c r="P46" s="368"/>
      <c r="Q46" s="392">
        <f>SUM(Q45)</f>
        <v>-1132.1189880000002</v>
      </c>
    </row>
    <row r="47" spans="1:17" ht="33.75">
      <c r="A47" s="143" t="s">
        <v>1022</v>
      </c>
      <c r="B47" s="143" t="s">
        <v>1037</v>
      </c>
      <c r="C47" s="143" t="s">
        <v>1043</v>
      </c>
      <c r="D47" s="143" t="s">
        <v>1093</v>
      </c>
      <c r="E47" s="143" t="s">
        <v>756</v>
      </c>
      <c r="F47" s="143" t="s">
        <v>248</v>
      </c>
      <c r="G47" s="143" t="s">
        <v>249</v>
      </c>
      <c r="H47" s="143" t="s">
        <v>1132</v>
      </c>
      <c r="I47" s="144">
        <v>-513773.16</v>
      </c>
      <c r="J47" s="397"/>
      <c r="K47" s="397"/>
      <c r="L47" s="397"/>
      <c r="M47" s="397"/>
      <c r="N47" s="396">
        <v>-513773.16</v>
      </c>
      <c r="P47" s="376">
        <f>IFERROR(VLOOKUP($H47,'Acq Adj - DEPR RATES'!$D$1:$G$31,4,FALSE),0)</f>
        <v>0.04</v>
      </c>
      <c r="Q47" s="395">
        <f>N47*P47</f>
        <v>-20550.9264</v>
      </c>
    </row>
    <row r="48" spans="1:17" ht="45">
      <c r="A48" s="143" t="s">
        <v>1022</v>
      </c>
      <c r="B48" s="143" t="s">
        <v>1037</v>
      </c>
      <c r="C48" s="146" t="s">
        <v>1133</v>
      </c>
      <c r="D48" s="147"/>
      <c r="E48" s="147"/>
      <c r="F48" s="147"/>
      <c r="G48" s="147"/>
      <c r="H48" s="147"/>
      <c r="I48" s="148">
        <v>-513773.16</v>
      </c>
      <c r="J48" s="394"/>
      <c r="K48" s="394"/>
      <c r="L48" s="394"/>
      <c r="M48" s="394"/>
      <c r="N48" s="393">
        <v>-513773.16</v>
      </c>
      <c r="P48" s="368"/>
      <c r="Q48" s="392">
        <f>SUM(Q47)</f>
        <v>-20550.9264</v>
      </c>
    </row>
    <row r="49" spans="1:18" ht="33.75">
      <c r="A49" s="143" t="s">
        <v>1022</v>
      </c>
      <c r="B49" s="143" t="s">
        <v>1037</v>
      </c>
      <c r="C49" s="143" t="s">
        <v>1045</v>
      </c>
      <c r="D49" s="143" t="s">
        <v>1093</v>
      </c>
      <c r="E49" s="143" t="s">
        <v>756</v>
      </c>
      <c r="F49" s="143" t="s">
        <v>248</v>
      </c>
      <c r="G49" s="143" t="s">
        <v>249</v>
      </c>
      <c r="H49" s="143" t="s">
        <v>1134</v>
      </c>
      <c r="I49" s="144">
        <v>-12271.67</v>
      </c>
      <c r="J49" s="397"/>
      <c r="K49" s="397"/>
      <c r="L49" s="397"/>
      <c r="M49" s="397"/>
      <c r="N49" s="396">
        <v>-12271.67</v>
      </c>
      <c r="P49" s="376">
        <f>IFERROR(VLOOKUP($H49,'Acq Adj - DEPR RATES'!$D$1:$G$31,4,FALSE),0)</f>
        <v>4.4900000000000002E-2</v>
      </c>
      <c r="Q49" s="395">
        <f>N49*P49</f>
        <v>-550.99798299999998</v>
      </c>
    </row>
    <row r="50" spans="1:18" ht="45">
      <c r="A50" s="143" t="s">
        <v>1022</v>
      </c>
      <c r="B50" s="143" t="s">
        <v>1037</v>
      </c>
      <c r="C50" s="146" t="s">
        <v>1135</v>
      </c>
      <c r="D50" s="147"/>
      <c r="E50" s="147"/>
      <c r="F50" s="147"/>
      <c r="G50" s="147"/>
      <c r="H50" s="147"/>
      <c r="I50" s="148">
        <v>-12271.67</v>
      </c>
      <c r="J50" s="394"/>
      <c r="K50" s="394"/>
      <c r="L50" s="394"/>
      <c r="M50" s="394"/>
      <c r="N50" s="393">
        <v>-12271.67</v>
      </c>
      <c r="P50" s="368"/>
      <c r="Q50" s="392">
        <f>SUM(Q49)</f>
        <v>-550.99798299999998</v>
      </c>
      <c r="R50" s="380" t="s">
        <v>1257</v>
      </c>
    </row>
    <row r="51" spans="1:18" ht="33.75">
      <c r="A51" s="143" t="s">
        <v>1022</v>
      </c>
      <c r="B51" s="143" t="s">
        <v>1037</v>
      </c>
      <c r="C51" s="143" t="s">
        <v>1053</v>
      </c>
      <c r="D51" s="143" t="s">
        <v>1093</v>
      </c>
      <c r="E51" s="143" t="s">
        <v>756</v>
      </c>
      <c r="F51" s="143" t="s">
        <v>248</v>
      </c>
      <c r="G51" s="143" t="s">
        <v>249</v>
      </c>
      <c r="H51" s="143" t="s">
        <v>1136</v>
      </c>
      <c r="I51" s="144">
        <v>-65944.039999999994</v>
      </c>
      <c r="J51" s="397"/>
      <c r="K51" s="397"/>
      <c r="L51" s="397"/>
      <c r="M51" s="397"/>
      <c r="N51" s="396">
        <v>-65944.039999999994</v>
      </c>
      <c r="P51" s="376">
        <f>IFERROR(VLOOKUP($H51,'Acq Adj - DEPR RATES'!$D$1:$G$31,4,FALSE),0)</f>
        <v>0.04</v>
      </c>
      <c r="Q51" s="395">
        <f>N51*P51</f>
        <v>-2637.7615999999998</v>
      </c>
    </row>
    <row r="52" spans="1:18" ht="45">
      <c r="A52" s="143" t="s">
        <v>1022</v>
      </c>
      <c r="B52" s="143" t="s">
        <v>1037</v>
      </c>
      <c r="C52" s="146" t="s">
        <v>1137</v>
      </c>
      <c r="D52" s="147"/>
      <c r="E52" s="147"/>
      <c r="F52" s="147"/>
      <c r="G52" s="147"/>
      <c r="H52" s="147"/>
      <c r="I52" s="148">
        <v>-65944.039999999994</v>
      </c>
      <c r="J52" s="394"/>
      <c r="K52" s="394"/>
      <c r="L52" s="394"/>
      <c r="M52" s="394"/>
      <c r="N52" s="393">
        <v>-65944.039999999994</v>
      </c>
      <c r="P52" s="368"/>
      <c r="Q52" s="392">
        <f>SUM(Q51)</f>
        <v>-2637.7615999999998</v>
      </c>
    </row>
    <row r="53" spans="1:18">
      <c r="A53" s="143" t="s">
        <v>1022</v>
      </c>
      <c r="B53" s="146" t="s">
        <v>1054</v>
      </c>
      <c r="C53" s="147"/>
      <c r="D53" s="147"/>
      <c r="E53" s="147"/>
      <c r="F53" s="147"/>
      <c r="G53" s="147"/>
      <c r="H53" s="147"/>
      <c r="I53" s="148">
        <v>-1015106.14</v>
      </c>
      <c r="J53" s="394"/>
      <c r="K53" s="394"/>
      <c r="L53" s="394"/>
      <c r="M53" s="394"/>
      <c r="N53" s="393">
        <v>-1015106.14</v>
      </c>
      <c r="P53" s="368"/>
      <c r="Q53" s="392">
        <f>Q52+Q50+Q48+Q46+Q44+Q42+Q40</f>
        <v>-39602.533058999994</v>
      </c>
    </row>
    <row r="54" spans="1:18" ht="33.75">
      <c r="A54" s="143" t="s">
        <v>1022</v>
      </c>
      <c r="B54" s="143" t="s">
        <v>1055</v>
      </c>
      <c r="C54" s="143" t="s">
        <v>1056</v>
      </c>
      <c r="D54" s="143" t="s">
        <v>1093</v>
      </c>
      <c r="E54" s="143" t="s">
        <v>756</v>
      </c>
      <c r="F54" s="143" t="s">
        <v>248</v>
      </c>
      <c r="G54" s="143" t="s">
        <v>249</v>
      </c>
      <c r="H54" s="143" t="s">
        <v>1138</v>
      </c>
      <c r="I54" s="144">
        <v>-81207.259999999995</v>
      </c>
      <c r="J54" s="397"/>
      <c r="K54" s="397"/>
      <c r="L54" s="397"/>
      <c r="M54" s="397"/>
      <c r="N54" s="396">
        <v>-81207.259999999995</v>
      </c>
      <c r="P54" s="376">
        <f>IFERROR(VLOOKUP($H54,'Acq Adj - DEPR RATES'!$D$1:$G$31,4,FALSE),0)</f>
        <v>0.04</v>
      </c>
      <c r="Q54" s="395">
        <f>N54*P54</f>
        <v>-3248.2903999999999</v>
      </c>
    </row>
    <row r="55" spans="1:18" ht="33.75">
      <c r="A55" s="143" t="s">
        <v>1022</v>
      </c>
      <c r="B55" s="143" t="s">
        <v>1055</v>
      </c>
      <c r="C55" s="146" t="s">
        <v>1139</v>
      </c>
      <c r="D55" s="147"/>
      <c r="E55" s="147"/>
      <c r="F55" s="147"/>
      <c r="G55" s="147"/>
      <c r="H55" s="147"/>
      <c r="I55" s="148">
        <v>-81207.259999999995</v>
      </c>
      <c r="J55" s="394"/>
      <c r="K55" s="394"/>
      <c r="L55" s="394"/>
      <c r="M55" s="394"/>
      <c r="N55" s="393">
        <v>-81207.259999999995</v>
      </c>
      <c r="P55" s="368"/>
      <c r="Q55" s="392">
        <f>SUM(Q54)</f>
        <v>-3248.2903999999999</v>
      </c>
    </row>
    <row r="56" spans="1:18" ht="33.75">
      <c r="A56" s="143" t="s">
        <v>1022</v>
      </c>
      <c r="B56" s="143" t="s">
        <v>1055</v>
      </c>
      <c r="C56" s="143" t="s">
        <v>1057</v>
      </c>
      <c r="D56" s="143" t="s">
        <v>1093</v>
      </c>
      <c r="E56" s="143" t="s">
        <v>756</v>
      </c>
      <c r="F56" s="143" t="s">
        <v>248</v>
      </c>
      <c r="G56" s="143" t="s">
        <v>249</v>
      </c>
      <c r="H56" s="143" t="s">
        <v>1140</v>
      </c>
      <c r="I56" s="144">
        <v>0</v>
      </c>
      <c r="J56" s="397"/>
      <c r="K56" s="397"/>
      <c r="L56" s="397"/>
      <c r="M56" s="397"/>
      <c r="N56" s="396">
        <v>0</v>
      </c>
      <c r="P56" s="376">
        <f>IFERROR(VLOOKUP($H56,'Acq Adj - DEPR RATES'!$D$1:$G$31,4,FALSE),0)</f>
        <v>6.6699999999999995E-2</v>
      </c>
      <c r="Q56" s="395">
        <f>N56*P56</f>
        <v>0</v>
      </c>
    </row>
    <row r="57" spans="1:18" ht="33.75">
      <c r="A57" s="143" t="s">
        <v>1022</v>
      </c>
      <c r="B57" s="143" t="s">
        <v>1055</v>
      </c>
      <c r="C57" s="146" t="s">
        <v>1141</v>
      </c>
      <c r="D57" s="147"/>
      <c r="E57" s="147"/>
      <c r="F57" s="147"/>
      <c r="G57" s="147"/>
      <c r="H57" s="147"/>
      <c r="I57" s="148">
        <v>0</v>
      </c>
      <c r="J57" s="394"/>
      <c r="K57" s="394"/>
      <c r="L57" s="394"/>
      <c r="M57" s="394"/>
      <c r="N57" s="393">
        <v>0</v>
      </c>
      <c r="P57" s="368"/>
      <c r="Q57" s="392">
        <f>N57*P57</f>
        <v>0</v>
      </c>
    </row>
    <row r="58" spans="1:18">
      <c r="A58" s="143" t="s">
        <v>1022</v>
      </c>
      <c r="B58" s="146" t="s">
        <v>1061</v>
      </c>
      <c r="C58" s="147"/>
      <c r="D58" s="147"/>
      <c r="E58" s="147"/>
      <c r="F58" s="147"/>
      <c r="G58" s="147"/>
      <c r="H58" s="147"/>
      <c r="I58" s="148">
        <v>-81207.259999999995</v>
      </c>
      <c r="J58" s="394"/>
      <c r="K58" s="394"/>
      <c r="L58" s="394"/>
      <c r="M58" s="394"/>
      <c r="N58" s="393">
        <v>-81207.259999999995</v>
      </c>
      <c r="P58" s="368"/>
      <c r="Q58" s="392">
        <f>Q57+Q55</f>
        <v>-3248.2903999999999</v>
      </c>
    </row>
    <row r="59" spans="1:18" ht="33.75">
      <c r="A59" s="143" t="s">
        <v>1022</v>
      </c>
      <c r="B59" s="143" t="s">
        <v>1062</v>
      </c>
      <c r="C59" s="143" t="s">
        <v>1063</v>
      </c>
      <c r="D59" s="143" t="s">
        <v>1093</v>
      </c>
      <c r="E59" s="143" t="s">
        <v>756</v>
      </c>
      <c r="F59" s="143" t="s">
        <v>256</v>
      </c>
      <c r="G59" s="143" t="s">
        <v>257</v>
      </c>
      <c r="H59" s="143" t="s">
        <v>1142</v>
      </c>
      <c r="I59" s="144">
        <v>-34352.089999999997</v>
      </c>
      <c r="J59" s="397"/>
      <c r="K59" s="397"/>
      <c r="L59" s="397"/>
      <c r="M59" s="397"/>
      <c r="N59" s="396">
        <v>-34352.089999999997</v>
      </c>
      <c r="P59" s="376">
        <f>IFERROR(VLOOKUP($H59,'Acq Adj - DEPR RATES'!$D$1:$G$31,4,FALSE),0)</f>
        <v>1.3899999999999999E-2</v>
      </c>
      <c r="Q59" s="395">
        <f>N59*P59</f>
        <v>-477.4940509999999</v>
      </c>
    </row>
    <row r="60" spans="1:18" ht="33.75">
      <c r="A60" s="143" t="s">
        <v>1022</v>
      </c>
      <c r="B60" s="143" t="s">
        <v>1062</v>
      </c>
      <c r="C60" s="146" t="s">
        <v>1143</v>
      </c>
      <c r="D60" s="147"/>
      <c r="E60" s="147"/>
      <c r="F60" s="147"/>
      <c r="G60" s="147"/>
      <c r="H60" s="147"/>
      <c r="I60" s="148">
        <v>-34352.089999999997</v>
      </c>
      <c r="J60" s="394"/>
      <c r="K60" s="394"/>
      <c r="L60" s="394"/>
      <c r="M60" s="394"/>
      <c r="N60" s="393">
        <v>-34352.089999999997</v>
      </c>
      <c r="P60" s="368"/>
      <c r="Q60" s="392">
        <f>SUM(Q59)</f>
        <v>-477.4940509999999</v>
      </c>
    </row>
    <row r="61" spans="1:18" ht="33.75">
      <c r="A61" s="143" t="s">
        <v>1022</v>
      </c>
      <c r="B61" s="143" t="s">
        <v>1062</v>
      </c>
      <c r="C61" s="143" t="s">
        <v>1064</v>
      </c>
      <c r="D61" s="143" t="s">
        <v>1093</v>
      </c>
      <c r="E61" s="143" t="s">
        <v>756</v>
      </c>
      <c r="F61" s="143" t="s">
        <v>248</v>
      </c>
      <c r="G61" s="143" t="s">
        <v>249</v>
      </c>
      <c r="H61" s="143" t="s">
        <v>1144</v>
      </c>
      <c r="I61" s="144">
        <v>-5238.1499999999996</v>
      </c>
      <c r="J61" s="397"/>
      <c r="K61" s="397"/>
      <c r="L61" s="397"/>
      <c r="M61" s="397"/>
      <c r="N61" s="396">
        <v>-5238.1499999999996</v>
      </c>
      <c r="P61" s="376">
        <f>IFERROR(VLOOKUP($H61,'Acq Adj - DEPR RATES'!$D$1:$G$31,4,FALSE),0)</f>
        <v>1.52E-2</v>
      </c>
      <c r="Q61" s="395">
        <f>N61*P61</f>
        <v>-79.619879999999995</v>
      </c>
    </row>
    <row r="62" spans="1:18" ht="45">
      <c r="A62" s="143" t="s">
        <v>1022</v>
      </c>
      <c r="B62" s="143" t="s">
        <v>1062</v>
      </c>
      <c r="C62" s="146" t="s">
        <v>1145</v>
      </c>
      <c r="D62" s="147"/>
      <c r="E62" s="147"/>
      <c r="F62" s="147"/>
      <c r="G62" s="147"/>
      <c r="H62" s="147"/>
      <c r="I62" s="148">
        <v>-5238.1499999999996</v>
      </c>
      <c r="J62" s="394"/>
      <c r="K62" s="394"/>
      <c r="L62" s="394"/>
      <c r="M62" s="394"/>
      <c r="N62" s="393">
        <v>-5238.1499999999996</v>
      </c>
      <c r="P62" s="368"/>
      <c r="Q62" s="392">
        <f>SUM(Q61)</f>
        <v>-79.619879999999995</v>
      </c>
    </row>
    <row r="63" spans="1:18" ht="33.75">
      <c r="A63" s="143" t="s">
        <v>1022</v>
      </c>
      <c r="B63" s="143" t="s">
        <v>1062</v>
      </c>
      <c r="C63" s="143" t="s">
        <v>1065</v>
      </c>
      <c r="D63" s="143" t="s">
        <v>1093</v>
      </c>
      <c r="E63" s="143" t="s">
        <v>756</v>
      </c>
      <c r="F63" s="143" t="s">
        <v>248</v>
      </c>
      <c r="G63" s="143" t="s">
        <v>249</v>
      </c>
      <c r="H63" s="143" t="s">
        <v>1146</v>
      </c>
      <c r="I63" s="144">
        <v>-3573586</v>
      </c>
      <c r="J63" s="397"/>
      <c r="K63" s="397"/>
      <c r="L63" s="397"/>
      <c r="M63" s="397"/>
      <c r="N63" s="396">
        <v>-3573586</v>
      </c>
      <c r="P63" s="376">
        <f>IFERROR(VLOOKUP($H63,'Acq Adj - DEPR RATES'!$D$1:$G$31,4,FALSE),0)</f>
        <v>1.4E-2</v>
      </c>
      <c r="Q63" s="395">
        <f>N63*P63</f>
        <v>-50030.203999999998</v>
      </c>
    </row>
    <row r="64" spans="1:18" ht="22.5">
      <c r="A64" s="143" t="s">
        <v>1022</v>
      </c>
      <c r="B64" s="143" t="s">
        <v>1062</v>
      </c>
      <c r="C64" s="146" t="s">
        <v>1147</v>
      </c>
      <c r="D64" s="147"/>
      <c r="E64" s="147"/>
      <c r="F64" s="147"/>
      <c r="G64" s="147"/>
      <c r="H64" s="147"/>
      <c r="I64" s="148">
        <v>-3573586</v>
      </c>
      <c r="J64" s="394"/>
      <c r="K64" s="394"/>
      <c r="L64" s="394"/>
      <c r="M64" s="394"/>
      <c r="N64" s="393">
        <v>-3573586</v>
      </c>
      <c r="P64" s="368"/>
      <c r="Q64" s="392">
        <f>SUM(Q63)</f>
        <v>-50030.203999999998</v>
      </c>
    </row>
    <row r="65" spans="1:22" ht="33.75">
      <c r="A65" s="143" t="s">
        <v>1022</v>
      </c>
      <c r="B65" s="143" t="s">
        <v>1062</v>
      </c>
      <c r="C65" s="143" t="s">
        <v>1066</v>
      </c>
      <c r="D65" s="143" t="s">
        <v>1093</v>
      </c>
      <c r="E65" s="143" t="s">
        <v>756</v>
      </c>
      <c r="F65" s="143" t="s">
        <v>248</v>
      </c>
      <c r="G65" s="143" t="s">
        <v>249</v>
      </c>
      <c r="H65" s="143" t="s">
        <v>1148</v>
      </c>
      <c r="I65" s="144">
        <v>-945244.54</v>
      </c>
      <c r="J65" s="397"/>
      <c r="K65" s="397"/>
      <c r="L65" s="397"/>
      <c r="M65" s="397"/>
      <c r="N65" s="396">
        <v>-945244.54</v>
      </c>
      <c r="P65" s="376">
        <f>IFERROR(VLOOKUP($H65,'Acq Adj - DEPR RATES'!$D$1:$G$31,4,FALSE),0)</f>
        <v>1.47E-2</v>
      </c>
      <c r="Q65" s="395">
        <f>N65*P65</f>
        <v>-13895.094738</v>
      </c>
    </row>
    <row r="66" spans="1:22" ht="45">
      <c r="A66" s="143" t="s">
        <v>1022</v>
      </c>
      <c r="B66" s="143" t="s">
        <v>1062</v>
      </c>
      <c r="C66" s="146" t="s">
        <v>1149</v>
      </c>
      <c r="D66" s="147"/>
      <c r="E66" s="147"/>
      <c r="F66" s="147"/>
      <c r="G66" s="147"/>
      <c r="H66" s="147"/>
      <c r="I66" s="148">
        <v>-945244.54</v>
      </c>
      <c r="J66" s="394"/>
      <c r="K66" s="394"/>
      <c r="L66" s="394"/>
      <c r="M66" s="394"/>
      <c r="N66" s="393">
        <v>-945244.54</v>
      </c>
      <c r="P66" s="368"/>
      <c r="Q66" s="392">
        <f>SUM(Q65)</f>
        <v>-13895.094738</v>
      </c>
    </row>
    <row r="67" spans="1:22" ht="33.75">
      <c r="A67" s="143" t="s">
        <v>1022</v>
      </c>
      <c r="B67" s="143" t="s">
        <v>1062</v>
      </c>
      <c r="C67" s="143" t="s">
        <v>1067</v>
      </c>
      <c r="D67" s="143" t="s">
        <v>1093</v>
      </c>
      <c r="E67" s="143" t="s">
        <v>756</v>
      </c>
      <c r="F67" s="143" t="s">
        <v>248</v>
      </c>
      <c r="G67" s="143" t="s">
        <v>249</v>
      </c>
      <c r="H67" s="143" t="s">
        <v>1150</v>
      </c>
      <c r="I67" s="144">
        <v>-53866.25</v>
      </c>
      <c r="J67" s="397"/>
      <c r="K67" s="397"/>
      <c r="L67" s="397"/>
      <c r="M67" s="397"/>
      <c r="N67" s="396">
        <v>-53866.25</v>
      </c>
      <c r="P67" s="376">
        <f>IFERROR(VLOOKUP($H67,'Acq Adj - DEPR RATES'!$D$1:$G$31,4,FALSE),0)</f>
        <v>2.4E-2</v>
      </c>
      <c r="Q67" s="395">
        <f>N67*P67</f>
        <v>-1292.79</v>
      </c>
    </row>
    <row r="68" spans="1:22" ht="33.75">
      <c r="A68" s="143" t="s">
        <v>1022</v>
      </c>
      <c r="B68" s="143" t="s">
        <v>1062</v>
      </c>
      <c r="C68" s="146" t="s">
        <v>1151</v>
      </c>
      <c r="D68" s="147"/>
      <c r="E68" s="147"/>
      <c r="F68" s="147"/>
      <c r="G68" s="147"/>
      <c r="H68" s="147"/>
      <c r="I68" s="148">
        <v>-53866.25</v>
      </c>
      <c r="J68" s="394"/>
      <c r="K68" s="394"/>
      <c r="L68" s="394"/>
      <c r="M68" s="394"/>
      <c r="N68" s="393">
        <v>-53866.25</v>
      </c>
      <c r="P68" s="368"/>
      <c r="Q68" s="392">
        <f>SUM(Q67)</f>
        <v>-1292.79</v>
      </c>
    </row>
    <row r="69" spans="1:22">
      <c r="A69" s="143" t="s">
        <v>1022</v>
      </c>
      <c r="B69" s="146" t="s">
        <v>1068</v>
      </c>
      <c r="C69" s="147"/>
      <c r="D69" s="147"/>
      <c r="E69" s="147"/>
      <c r="F69" s="147"/>
      <c r="G69" s="147"/>
      <c r="H69" s="147"/>
      <c r="I69" s="148">
        <v>-4612287.03</v>
      </c>
      <c r="J69" s="394"/>
      <c r="K69" s="394"/>
      <c r="L69" s="394"/>
      <c r="M69" s="394"/>
      <c r="N69" s="393">
        <v>-4612287.03</v>
      </c>
      <c r="P69" s="368"/>
      <c r="Q69" s="392">
        <f>Q68+Q66+Q64+Q62+Q60</f>
        <v>-65775.202668999991</v>
      </c>
    </row>
    <row r="70" spans="1:22">
      <c r="A70" s="146" t="s">
        <v>1069</v>
      </c>
      <c r="B70" s="147"/>
      <c r="C70" s="147"/>
      <c r="D70" s="147"/>
      <c r="E70" s="147"/>
      <c r="F70" s="147"/>
      <c r="G70" s="147"/>
      <c r="H70" s="147"/>
      <c r="I70" s="148">
        <v>-66168646.159999996</v>
      </c>
      <c r="J70" s="394"/>
      <c r="K70" s="394"/>
      <c r="L70" s="394"/>
      <c r="M70" s="394"/>
      <c r="N70" s="393">
        <v>-66168646.159999996</v>
      </c>
      <c r="P70" s="368"/>
      <c r="Q70" s="392">
        <f>Q69+Q58+Q53+Q37</f>
        <v>-1227826.0752739999</v>
      </c>
    </row>
    <row r="71" spans="1:22" ht="22.5">
      <c r="A71" s="146" t="s">
        <v>78</v>
      </c>
      <c r="B71" s="147"/>
      <c r="C71" s="147"/>
      <c r="D71" s="147"/>
      <c r="E71" s="147"/>
      <c r="F71" s="147"/>
      <c r="G71" s="147"/>
      <c r="H71" s="147"/>
      <c r="I71" s="148">
        <v>-66168646.159999996</v>
      </c>
      <c r="J71" s="394"/>
      <c r="K71" s="394"/>
      <c r="L71" s="394"/>
      <c r="M71" s="394"/>
      <c r="N71" s="393">
        <v>-66168646.159999996</v>
      </c>
      <c r="P71" s="368"/>
      <c r="Q71" s="392">
        <f>Q69+Q58+Q53+Q37</f>
        <v>-1227826.0752739999</v>
      </c>
      <c r="R71" s="282" t="s">
        <v>1234</v>
      </c>
    </row>
    <row r="73" spans="1:22">
      <c r="A73" s="391" t="s">
        <v>234</v>
      </c>
      <c r="B73" s="391"/>
      <c r="C73" s="391"/>
      <c r="D73" s="391"/>
      <c r="E73" s="391"/>
      <c r="F73" s="391"/>
      <c r="G73" s="391"/>
      <c r="H73" s="363"/>
      <c r="I73" s="363"/>
      <c r="J73" s="363"/>
      <c r="K73" s="363"/>
      <c r="L73" s="363"/>
      <c r="M73" s="363"/>
      <c r="N73" s="363"/>
      <c r="O73" s="363"/>
      <c r="P73" s="362"/>
      <c r="Q73" s="385"/>
      <c r="R73" s="364"/>
      <c r="S73" s="360"/>
      <c r="T73" s="360"/>
      <c r="U73" s="360"/>
      <c r="V73" s="360"/>
    </row>
    <row r="74" spans="1:22">
      <c r="A74" s="390" t="s">
        <v>1225</v>
      </c>
      <c r="B74" s="390"/>
      <c r="C74" s="390"/>
      <c r="D74" s="390"/>
      <c r="E74" s="390"/>
      <c r="F74" s="390"/>
      <c r="G74" s="390"/>
      <c r="H74" s="363"/>
      <c r="I74" s="363"/>
      <c r="J74" s="363"/>
      <c r="K74" s="363"/>
      <c r="L74" s="363"/>
      <c r="M74" s="363"/>
      <c r="N74" s="363"/>
      <c r="O74" s="363"/>
      <c r="P74" s="362"/>
      <c r="Q74" s="385"/>
      <c r="R74" s="364"/>
      <c r="S74" s="360"/>
      <c r="T74" s="360"/>
      <c r="U74" s="360"/>
      <c r="V74" s="360"/>
    </row>
    <row r="75" spans="1:22">
      <c r="A75" s="389" t="s">
        <v>235</v>
      </c>
      <c r="B75" s="363"/>
      <c r="C75" s="363"/>
      <c r="D75" s="363"/>
      <c r="E75" s="363"/>
      <c r="F75" s="363"/>
      <c r="G75" s="363"/>
      <c r="H75" s="363"/>
      <c r="I75" s="363"/>
      <c r="J75" s="363"/>
      <c r="K75" s="363"/>
      <c r="L75" s="363"/>
      <c r="M75" s="363"/>
      <c r="N75" s="363"/>
      <c r="O75" s="363"/>
      <c r="P75" s="362"/>
      <c r="Q75" s="385"/>
      <c r="R75" s="364"/>
      <c r="S75" s="360"/>
      <c r="T75" s="360"/>
      <c r="U75" s="360"/>
      <c r="V75" s="360"/>
    </row>
    <row r="76" spans="1:22">
      <c r="A76" s="389"/>
      <c r="B76" s="387" t="s">
        <v>1226</v>
      </c>
      <c r="C76" s="363"/>
      <c r="D76" s="363"/>
      <c r="E76" s="363"/>
      <c r="F76" s="363"/>
      <c r="G76" s="363"/>
      <c r="H76" s="363"/>
      <c r="I76" s="363"/>
      <c r="J76" s="363"/>
      <c r="K76" s="363"/>
      <c r="L76" s="363"/>
      <c r="M76" s="363"/>
      <c r="N76" s="363"/>
      <c r="O76" s="363"/>
      <c r="P76" s="362"/>
      <c r="Q76" s="385"/>
      <c r="R76" s="364"/>
      <c r="S76" s="360"/>
      <c r="T76" s="360"/>
      <c r="U76" s="360"/>
      <c r="V76" s="360"/>
    </row>
    <row r="77" spans="1:22">
      <c r="A77" s="388" t="s">
        <v>237</v>
      </c>
      <c r="B77" s="387" t="s">
        <v>1227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2"/>
      <c r="Q77" s="385"/>
      <c r="R77" s="364"/>
    </row>
    <row r="78" spans="1:22">
      <c r="A78" s="388" t="s">
        <v>237</v>
      </c>
      <c r="B78" s="387" t="s">
        <v>1228</v>
      </c>
      <c r="C78" s="363"/>
      <c r="D78" s="363"/>
      <c r="E78" s="363"/>
      <c r="F78" s="363"/>
      <c r="G78" s="363"/>
      <c r="H78" s="363"/>
      <c r="I78" s="363"/>
      <c r="J78" s="363"/>
      <c r="K78" s="363"/>
      <c r="L78" s="363"/>
      <c r="M78" s="363"/>
      <c r="N78" s="363"/>
      <c r="O78" s="363"/>
      <c r="P78" s="362"/>
      <c r="Q78" s="385"/>
      <c r="R78" s="364"/>
    </row>
    <row r="79" spans="1:22">
      <c r="A79" s="386" t="s">
        <v>235</v>
      </c>
      <c r="B79" s="363"/>
      <c r="C79" s="363"/>
      <c r="D79" s="363"/>
      <c r="E79" s="363"/>
      <c r="F79" s="363"/>
      <c r="G79" s="363"/>
      <c r="H79" s="363"/>
      <c r="I79" s="363"/>
      <c r="J79" s="363"/>
      <c r="K79" s="363"/>
      <c r="L79" s="363"/>
      <c r="M79" s="363"/>
      <c r="N79" s="363"/>
      <c r="O79" s="363"/>
      <c r="P79" s="362"/>
      <c r="Q79" s="385"/>
      <c r="R79" s="364"/>
    </row>
    <row r="80" spans="1:22" ht="33.75">
      <c r="A80" s="384" t="s">
        <v>238</v>
      </c>
      <c r="B80" s="384" t="s">
        <v>240</v>
      </c>
      <c r="C80" s="384" t="s">
        <v>241</v>
      </c>
      <c r="D80" s="384" t="s">
        <v>100</v>
      </c>
      <c r="E80" s="384" t="s">
        <v>746</v>
      </c>
      <c r="F80" s="384" t="s">
        <v>74</v>
      </c>
      <c r="G80" s="384" t="s">
        <v>242</v>
      </c>
      <c r="H80" s="384" t="s">
        <v>243</v>
      </c>
      <c r="I80" s="384" t="s">
        <v>1092</v>
      </c>
      <c r="J80" s="384" t="s">
        <v>244</v>
      </c>
      <c r="K80" s="384" t="s">
        <v>245</v>
      </c>
      <c r="L80" s="384" t="s">
        <v>246</v>
      </c>
      <c r="M80" s="384" t="s">
        <v>247</v>
      </c>
      <c r="N80" s="383" t="s">
        <v>1021</v>
      </c>
      <c r="O80" s="363"/>
      <c r="P80" s="382" t="s">
        <v>1233</v>
      </c>
      <c r="Q80" s="381" t="s">
        <v>1232</v>
      </c>
      <c r="R80" s="364"/>
    </row>
    <row r="81" spans="1:18" ht="56.25">
      <c r="A81" s="374" t="s">
        <v>1022</v>
      </c>
      <c r="B81" s="374" t="s">
        <v>1023</v>
      </c>
      <c r="C81" s="374" t="s">
        <v>1026</v>
      </c>
      <c r="D81" s="374" t="s">
        <v>1093</v>
      </c>
      <c r="E81" s="374" t="s">
        <v>1229</v>
      </c>
      <c r="F81" s="374" t="s">
        <v>248</v>
      </c>
      <c r="G81" s="374" t="s">
        <v>249</v>
      </c>
      <c r="H81" s="374" t="s">
        <v>1103</v>
      </c>
      <c r="I81" s="379">
        <v>11988346.449999999</v>
      </c>
      <c r="J81" s="378"/>
      <c r="K81" s="378"/>
      <c r="L81" s="378"/>
      <c r="M81" s="378"/>
      <c r="N81" s="377">
        <v>11988346.449999999</v>
      </c>
      <c r="O81" s="363"/>
      <c r="P81" s="376">
        <f>IFERROR(VLOOKUP($H81,'Acq Adj - DEPR RATES'!$D$1:$G$31,4,FALSE),0)</f>
        <v>1.7399999999999999E-2</v>
      </c>
      <c r="Q81" s="375">
        <f>N81*P81</f>
        <v>208597.22822999998</v>
      </c>
      <c r="R81" s="364"/>
    </row>
    <row r="82" spans="1:18" ht="22.5">
      <c r="A82" s="374" t="s">
        <v>1022</v>
      </c>
      <c r="B82" s="374" t="s">
        <v>1023</v>
      </c>
      <c r="C82" s="373" t="s">
        <v>1104</v>
      </c>
      <c r="D82" s="372"/>
      <c r="E82" s="372"/>
      <c r="F82" s="372"/>
      <c r="G82" s="372"/>
      <c r="H82" s="372"/>
      <c r="I82" s="371">
        <v>11988346.449999999</v>
      </c>
      <c r="J82" s="370"/>
      <c r="K82" s="370"/>
      <c r="L82" s="370"/>
      <c r="M82" s="370"/>
      <c r="N82" s="369">
        <v>11988346.449999999</v>
      </c>
      <c r="O82" s="363"/>
      <c r="P82" s="368"/>
      <c r="Q82" s="367">
        <f>SUM(Q81)</f>
        <v>208597.22822999998</v>
      </c>
      <c r="R82" s="364"/>
    </row>
    <row r="83" spans="1:18" ht="56.25">
      <c r="A83" s="374" t="s">
        <v>1022</v>
      </c>
      <c r="B83" s="374" t="s">
        <v>1023</v>
      </c>
      <c r="C83" s="374" t="s">
        <v>1027</v>
      </c>
      <c r="D83" s="374" t="s">
        <v>1093</v>
      </c>
      <c r="E83" s="374" t="s">
        <v>1229</v>
      </c>
      <c r="F83" s="374" t="s">
        <v>248</v>
      </c>
      <c r="G83" s="374" t="s">
        <v>249</v>
      </c>
      <c r="H83" s="374" t="s">
        <v>1105</v>
      </c>
      <c r="I83" s="379">
        <v>203438.15</v>
      </c>
      <c r="J83" s="378"/>
      <c r="K83" s="378"/>
      <c r="L83" s="378"/>
      <c r="M83" s="378"/>
      <c r="N83" s="377">
        <v>203438.15</v>
      </c>
      <c r="O83" s="363"/>
      <c r="P83" s="376">
        <f>IFERROR(VLOOKUP($H83,'Acq Adj - DEPR RATES'!$D$1:$G$31,4,FALSE),0)</f>
        <v>2.4E-2</v>
      </c>
      <c r="Q83" s="375">
        <f>N83*P83</f>
        <v>4882.5155999999997</v>
      </c>
      <c r="R83" s="364"/>
    </row>
    <row r="84" spans="1:18" ht="33.75">
      <c r="A84" s="374" t="s">
        <v>1022</v>
      </c>
      <c r="B84" s="374" t="s">
        <v>1023</v>
      </c>
      <c r="C84" s="373" t="s">
        <v>1106</v>
      </c>
      <c r="D84" s="372"/>
      <c r="E84" s="372"/>
      <c r="F84" s="372"/>
      <c r="G84" s="372"/>
      <c r="H84" s="372"/>
      <c r="I84" s="371">
        <v>203438.15</v>
      </c>
      <c r="J84" s="370"/>
      <c r="K84" s="370"/>
      <c r="L84" s="370"/>
      <c r="M84" s="370"/>
      <c r="N84" s="369">
        <v>203438.15</v>
      </c>
      <c r="O84" s="363"/>
      <c r="P84" s="368"/>
      <c r="Q84" s="367">
        <f>SUM(Q83)</f>
        <v>4882.5155999999997</v>
      </c>
      <c r="R84" s="364"/>
    </row>
    <row r="85" spans="1:18" ht="56.25">
      <c r="A85" s="374" t="s">
        <v>1022</v>
      </c>
      <c r="B85" s="374" t="s">
        <v>1023</v>
      </c>
      <c r="C85" s="374" t="s">
        <v>1028</v>
      </c>
      <c r="D85" s="374" t="s">
        <v>1093</v>
      </c>
      <c r="E85" s="374" t="s">
        <v>1229</v>
      </c>
      <c r="F85" s="374" t="s">
        <v>248</v>
      </c>
      <c r="G85" s="374" t="s">
        <v>249</v>
      </c>
      <c r="H85" s="374" t="s">
        <v>1107</v>
      </c>
      <c r="I85" s="379">
        <v>266835.49</v>
      </c>
      <c r="J85" s="378"/>
      <c r="K85" s="378"/>
      <c r="L85" s="378"/>
      <c r="M85" s="378"/>
      <c r="N85" s="377">
        <v>266835.49</v>
      </c>
      <c r="O85" s="363"/>
      <c r="P85" s="376">
        <f>IFERROR(VLOOKUP($H85,'Acq Adj - DEPR RATES'!$D$1:$G$31,4,FALSE),0)</f>
        <v>2.4E-2</v>
      </c>
      <c r="Q85" s="375">
        <f>N85*P85</f>
        <v>6404.0517600000003</v>
      </c>
      <c r="R85" s="364"/>
    </row>
    <row r="86" spans="1:18" ht="33.75">
      <c r="A86" s="374" t="s">
        <v>1022</v>
      </c>
      <c r="B86" s="374" t="s">
        <v>1023</v>
      </c>
      <c r="C86" s="373" t="s">
        <v>1108</v>
      </c>
      <c r="D86" s="372"/>
      <c r="E86" s="372"/>
      <c r="F86" s="372"/>
      <c r="G86" s="372"/>
      <c r="H86" s="372"/>
      <c r="I86" s="371">
        <v>266835.49</v>
      </c>
      <c r="J86" s="370"/>
      <c r="K86" s="370"/>
      <c r="L86" s="370"/>
      <c r="M86" s="370"/>
      <c r="N86" s="369">
        <v>266835.49</v>
      </c>
      <c r="O86" s="363"/>
      <c r="P86" s="368"/>
      <c r="Q86" s="367">
        <f>SUM(Q85)</f>
        <v>6404.0517600000003</v>
      </c>
      <c r="R86" s="364"/>
    </row>
    <row r="87" spans="1:18" ht="56.25">
      <c r="A87" s="374" t="s">
        <v>1022</v>
      </c>
      <c r="B87" s="374" t="s">
        <v>1023</v>
      </c>
      <c r="C87" s="374" t="s">
        <v>1029</v>
      </c>
      <c r="D87" s="374" t="s">
        <v>1093</v>
      </c>
      <c r="E87" s="374" t="s">
        <v>1229</v>
      </c>
      <c r="F87" s="374" t="s">
        <v>248</v>
      </c>
      <c r="G87" s="374" t="s">
        <v>249</v>
      </c>
      <c r="H87" s="374" t="s">
        <v>1109</v>
      </c>
      <c r="I87" s="379">
        <v>3646695.14</v>
      </c>
      <c r="J87" s="378"/>
      <c r="K87" s="378"/>
      <c r="L87" s="378"/>
      <c r="M87" s="378"/>
      <c r="N87" s="377">
        <v>3646695.14</v>
      </c>
      <c r="O87" s="363"/>
      <c r="P87" s="376">
        <f>IFERROR(VLOOKUP($H87,'Acq Adj - DEPR RATES'!$D$1:$G$31,4,FALSE),0)</f>
        <v>1.9099999999999999E-2</v>
      </c>
      <c r="Q87" s="375">
        <f>N87*P87</f>
        <v>69651.877173999994</v>
      </c>
      <c r="R87" s="364"/>
    </row>
    <row r="88" spans="1:18" ht="22.5">
      <c r="A88" s="374" t="s">
        <v>1022</v>
      </c>
      <c r="B88" s="374" t="s">
        <v>1023</v>
      </c>
      <c r="C88" s="373" t="s">
        <v>1110</v>
      </c>
      <c r="D88" s="372"/>
      <c r="E88" s="372"/>
      <c r="F88" s="372"/>
      <c r="G88" s="372"/>
      <c r="H88" s="372"/>
      <c r="I88" s="371">
        <v>3646695.14</v>
      </c>
      <c r="J88" s="370"/>
      <c r="K88" s="370"/>
      <c r="L88" s="370"/>
      <c r="M88" s="370"/>
      <c r="N88" s="369">
        <v>3646695.14</v>
      </c>
      <c r="O88" s="363"/>
      <c r="P88" s="368"/>
      <c r="Q88" s="367">
        <f>SUM(Q87)</f>
        <v>69651.877173999994</v>
      </c>
      <c r="R88" s="364"/>
    </row>
    <row r="89" spans="1:18" ht="56.25">
      <c r="A89" s="374" t="s">
        <v>1022</v>
      </c>
      <c r="B89" s="374" t="s">
        <v>1023</v>
      </c>
      <c r="C89" s="374" t="s">
        <v>1030</v>
      </c>
      <c r="D89" s="374" t="s">
        <v>1093</v>
      </c>
      <c r="E89" s="374" t="s">
        <v>1229</v>
      </c>
      <c r="F89" s="374" t="s">
        <v>248</v>
      </c>
      <c r="G89" s="374" t="s">
        <v>249</v>
      </c>
      <c r="H89" s="374" t="s">
        <v>1111</v>
      </c>
      <c r="I89" s="379">
        <v>846442.94</v>
      </c>
      <c r="J89" s="378"/>
      <c r="K89" s="378"/>
      <c r="L89" s="378"/>
      <c r="M89" s="378"/>
      <c r="N89" s="377">
        <v>846442.94</v>
      </c>
      <c r="O89" s="363"/>
      <c r="P89" s="376">
        <f>IFERROR(VLOOKUP($H89,'Acq Adj - DEPR RATES'!$D$1:$G$31,4,FALSE),0)</f>
        <v>2.3599999999999999E-2</v>
      </c>
      <c r="Q89" s="375">
        <f>N89*P89</f>
        <v>19976.053383999999</v>
      </c>
      <c r="R89" s="364"/>
    </row>
    <row r="90" spans="1:18" ht="22.5">
      <c r="A90" s="374" t="s">
        <v>1022</v>
      </c>
      <c r="B90" s="374" t="s">
        <v>1023</v>
      </c>
      <c r="C90" s="373" t="s">
        <v>1112</v>
      </c>
      <c r="D90" s="372"/>
      <c r="E90" s="372"/>
      <c r="F90" s="372"/>
      <c r="G90" s="372"/>
      <c r="H90" s="372"/>
      <c r="I90" s="371">
        <v>846442.94</v>
      </c>
      <c r="J90" s="370"/>
      <c r="K90" s="370"/>
      <c r="L90" s="370"/>
      <c r="M90" s="370"/>
      <c r="N90" s="369">
        <v>846442.94</v>
      </c>
      <c r="O90" s="363"/>
      <c r="P90" s="368"/>
      <c r="Q90" s="367">
        <f>SUM(Q89)</f>
        <v>19976.053383999999</v>
      </c>
      <c r="R90" s="364"/>
    </row>
    <row r="91" spans="1:18" ht="56.25">
      <c r="A91" s="374" t="s">
        <v>1022</v>
      </c>
      <c r="B91" s="374" t="s">
        <v>1023</v>
      </c>
      <c r="C91" s="374" t="s">
        <v>1031</v>
      </c>
      <c r="D91" s="374" t="s">
        <v>1093</v>
      </c>
      <c r="E91" s="374" t="s">
        <v>1229</v>
      </c>
      <c r="F91" s="374" t="s">
        <v>248</v>
      </c>
      <c r="G91" s="374" t="s">
        <v>249</v>
      </c>
      <c r="H91" s="374" t="s">
        <v>1113</v>
      </c>
      <c r="I91" s="379">
        <v>6102.36</v>
      </c>
      <c r="J91" s="378"/>
      <c r="K91" s="378"/>
      <c r="L91" s="378"/>
      <c r="M91" s="378"/>
      <c r="N91" s="377">
        <v>6102.36</v>
      </c>
      <c r="O91" s="363"/>
      <c r="P91" s="376">
        <f>IFERROR(VLOOKUP($H91,'Acq Adj - DEPR RATES'!$D$1:$G$31,4,FALSE),0)</f>
        <v>2.3599999999999999E-2</v>
      </c>
      <c r="Q91" s="375">
        <f>N91*P91</f>
        <v>144.01569599999999</v>
      </c>
      <c r="R91" s="364"/>
    </row>
    <row r="92" spans="1:18" ht="33.75">
      <c r="A92" s="374" t="s">
        <v>1022</v>
      </c>
      <c r="B92" s="374" t="s">
        <v>1023</v>
      </c>
      <c r="C92" s="373" t="s">
        <v>1114</v>
      </c>
      <c r="D92" s="372"/>
      <c r="E92" s="372"/>
      <c r="F92" s="372"/>
      <c r="G92" s="372"/>
      <c r="H92" s="372"/>
      <c r="I92" s="371">
        <v>6102.36</v>
      </c>
      <c r="J92" s="370"/>
      <c r="K92" s="370"/>
      <c r="L92" s="370"/>
      <c r="M92" s="370"/>
      <c r="N92" s="369">
        <v>6102.36</v>
      </c>
      <c r="O92" s="363"/>
      <c r="P92" s="368"/>
      <c r="Q92" s="367">
        <f>SUM(Q91)</f>
        <v>144.01569599999999</v>
      </c>
      <c r="R92" s="364"/>
    </row>
    <row r="93" spans="1:18" ht="56.25">
      <c r="A93" s="374" t="s">
        <v>1022</v>
      </c>
      <c r="B93" s="374" t="s">
        <v>1023</v>
      </c>
      <c r="C93" s="374" t="s">
        <v>1032</v>
      </c>
      <c r="D93" s="374" t="s">
        <v>1093</v>
      </c>
      <c r="E93" s="374" t="s">
        <v>1229</v>
      </c>
      <c r="F93" s="374" t="s">
        <v>248</v>
      </c>
      <c r="G93" s="374" t="s">
        <v>249</v>
      </c>
      <c r="H93" s="374" t="s">
        <v>1115</v>
      </c>
      <c r="I93" s="379">
        <v>-109825.33</v>
      </c>
      <c r="J93" s="378"/>
      <c r="K93" s="378"/>
      <c r="L93" s="378"/>
      <c r="M93" s="378"/>
      <c r="N93" s="377">
        <v>-109825.33</v>
      </c>
      <c r="O93" s="363"/>
      <c r="P93" s="376">
        <f>IFERROR(VLOOKUP($H93,'Acq Adj - DEPR RATES'!$D$1:$G$31,4,FALSE),0)</f>
        <v>2.58E-2</v>
      </c>
      <c r="Q93" s="375">
        <f>N93*P93</f>
        <v>-2833.4935140000002</v>
      </c>
      <c r="R93" s="364"/>
    </row>
    <row r="94" spans="1:18" ht="22.5">
      <c r="A94" s="374" t="s">
        <v>1022</v>
      </c>
      <c r="B94" s="374" t="s">
        <v>1023</v>
      </c>
      <c r="C94" s="373" t="s">
        <v>1116</v>
      </c>
      <c r="D94" s="372"/>
      <c r="E94" s="372"/>
      <c r="F94" s="372"/>
      <c r="G94" s="372"/>
      <c r="H94" s="372"/>
      <c r="I94" s="371">
        <v>-109825.33</v>
      </c>
      <c r="J94" s="370"/>
      <c r="K94" s="370"/>
      <c r="L94" s="370"/>
      <c r="M94" s="370"/>
      <c r="N94" s="369">
        <v>-109825.33</v>
      </c>
      <c r="O94" s="363"/>
      <c r="P94" s="368"/>
      <c r="Q94" s="367">
        <f>SUM(Q93)</f>
        <v>-2833.4935140000002</v>
      </c>
      <c r="R94" s="364"/>
    </row>
    <row r="95" spans="1:18" ht="56.25">
      <c r="A95" s="374" t="s">
        <v>1022</v>
      </c>
      <c r="B95" s="374" t="s">
        <v>1023</v>
      </c>
      <c r="C95" s="374" t="s">
        <v>1034</v>
      </c>
      <c r="D95" s="374" t="s">
        <v>1093</v>
      </c>
      <c r="E95" s="374" t="s">
        <v>1229</v>
      </c>
      <c r="F95" s="374" t="s">
        <v>248</v>
      </c>
      <c r="G95" s="374" t="s">
        <v>249</v>
      </c>
      <c r="H95" s="374" t="s">
        <v>1119</v>
      </c>
      <c r="I95" s="379">
        <v>272367</v>
      </c>
      <c r="J95" s="378"/>
      <c r="K95" s="378"/>
      <c r="L95" s="378"/>
      <c r="M95" s="378"/>
      <c r="N95" s="377">
        <v>272367</v>
      </c>
      <c r="O95" s="363"/>
      <c r="P95" s="376">
        <f>IFERROR(VLOOKUP($H95,'Acq Adj - DEPR RATES'!$D$1:$G$31,4,FALSE),0)</f>
        <v>2.1100000000000001E-2</v>
      </c>
      <c r="Q95" s="375">
        <f>N95*P95</f>
        <v>5746.9436999999998</v>
      </c>
      <c r="R95" s="364"/>
    </row>
    <row r="96" spans="1:18" ht="33.75">
      <c r="A96" s="374" t="s">
        <v>1022</v>
      </c>
      <c r="B96" s="374" t="s">
        <v>1023</v>
      </c>
      <c r="C96" s="373" t="s">
        <v>1120</v>
      </c>
      <c r="D96" s="372"/>
      <c r="E96" s="372"/>
      <c r="F96" s="372"/>
      <c r="G96" s="372"/>
      <c r="H96" s="372"/>
      <c r="I96" s="371">
        <v>272367</v>
      </c>
      <c r="J96" s="370"/>
      <c r="K96" s="370"/>
      <c r="L96" s="370"/>
      <c r="M96" s="370"/>
      <c r="N96" s="369">
        <v>272367</v>
      </c>
      <c r="O96" s="363"/>
      <c r="P96" s="368"/>
      <c r="Q96" s="367">
        <f>SUM(Q95)</f>
        <v>5746.9436999999998</v>
      </c>
      <c r="R96" s="364"/>
    </row>
    <row r="97" spans="1:18" ht="56.25">
      <c r="A97" s="374" t="s">
        <v>1022</v>
      </c>
      <c r="B97" s="374" t="s">
        <v>1023</v>
      </c>
      <c r="C97" s="374" t="s">
        <v>1035</v>
      </c>
      <c r="D97" s="374" t="s">
        <v>1093</v>
      </c>
      <c r="E97" s="374" t="s">
        <v>1229</v>
      </c>
      <c r="F97" s="374" t="s">
        <v>248</v>
      </c>
      <c r="G97" s="374" t="s">
        <v>249</v>
      </c>
      <c r="H97" s="374" t="s">
        <v>1121</v>
      </c>
      <c r="I97" s="379">
        <v>203195.56</v>
      </c>
      <c r="J97" s="378"/>
      <c r="K97" s="378"/>
      <c r="L97" s="378"/>
      <c r="M97" s="378"/>
      <c r="N97" s="377">
        <v>203195.56</v>
      </c>
      <c r="O97" s="363"/>
      <c r="P97" s="376">
        <f>IFERROR(VLOOKUP($H97,'Acq Adj - DEPR RATES'!$D$1:$G$31,4,FALSE),0)</f>
        <v>3.0200000000000001E-2</v>
      </c>
      <c r="Q97" s="375">
        <f>N97*P97</f>
        <v>6136.5059120000005</v>
      </c>
      <c r="R97" s="364"/>
    </row>
    <row r="98" spans="1:18" ht="33.75">
      <c r="A98" s="374" t="s">
        <v>1022</v>
      </c>
      <c r="B98" s="374" t="s">
        <v>1023</v>
      </c>
      <c r="C98" s="373" t="s">
        <v>1122</v>
      </c>
      <c r="D98" s="372"/>
      <c r="E98" s="372"/>
      <c r="F98" s="372"/>
      <c r="G98" s="372"/>
      <c r="H98" s="372"/>
      <c r="I98" s="371">
        <v>203195.56</v>
      </c>
      <c r="J98" s="370"/>
      <c r="K98" s="370"/>
      <c r="L98" s="370"/>
      <c r="M98" s="370"/>
      <c r="N98" s="369">
        <v>203195.56</v>
      </c>
      <c r="O98" s="363"/>
      <c r="P98" s="368"/>
      <c r="Q98" s="367">
        <f>SUM(Q97)</f>
        <v>6136.5059120000005</v>
      </c>
      <c r="R98" s="364"/>
    </row>
    <row r="99" spans="1:18">
      <c r="A99" s="374" t="s">
        <v>1022</v>
      </c>
      <c r="B99" s="373" t="s">
        <v>1036</v>
      </c>
      <c r="C99" s="372"/>
      <c r="D99" s="372"/>
      <c r="E99" s="372"/>
      <c r="F99" s="372"/>
      <c r="G99" s="372"/>
      <c r="H99" s="372"/>
      <c r="I99" s="371">
        <v>17323597.760000002</v>
      </c>
      <c r="J99" s="370"/>
      <c r="K99" s="370"/>
      <c r="L99" s="370"/>
      <c r="M99" s="370"/>
      <c r="N99" s="369">
        <v>17323597.760000002</v>
      </c>
      <c r="O99" s="363"/>
      <c r="P99" s="368"/>
      <c r="Q99" s="367">
        <f>Q98+Q96+Q94+Q92+Q90+Q88+Q86+Q84+Q82</f>
        <v>318705.697942</v>
      </c>
      <c r="R99" s="364"/>
    </row>
    <row r="100" spans="1:18" ht="56.25">
      <c r="A100" s="374" t="s">
        <v>1022</v>
      </c>
      <c r="B100" s="374" t="s">
        <v>1037</v>
      </c>
      <c r="C100" s="374" t="s">
        <v>1038</v>
      </c>
      <c r="D100" s="374" t="s">
        <v>1093</v>
      </c>
      <c r="E100" s="374" t="s">
        <v>1229</v>
      </c>
      <c r="F100" s="374" t="s">
        <v>252</v>
      </c>
      <c r="G100" s="374" t="s">
        <v>253</v>
      </c>
      <c r="H100" s="374" t="s">
        <v>1123</v>
      </c>
      <c r="I100" s="379">
        <v>9683.36</v>
      </c>
      <c r="J100" s="378"/>
      <c r="K100" s="378"/>
      <c r="L100" s="378"/>
      <c r="M100" s="378"/>
      <c r="N100" s="377">
        <v>9683.36</v>
      </c>
      <c r="O100" s="363"/>
      <c r="P100" s="376">
        <f>IFERROR(VLOOKUP($H100,'Acq Adj - DEPR RATES'!$D$1:$G$31,4,FALSE),0)</f>
        <v>0</v>
      </c>
      <c r="Q100" s="375">
        <f>N100*P100</f>
        <v>0</v>
      </c>
      <c r="R100" s="364"/>
    </row>
    <row r="101" spans="1:18" ht="56.25">
      <c r="A101" s="374" t="s">
        <v>1022</v>
      </c>
      <c r="B101" s="374" t="s">
        <v>1037</v>
      </c>
      <c r="C101" s="374" t="s">
        <v>1038</v>
      </c>
      <c r="D101" s="374" t="s">
        <v>1093</v>
      </c>
      <c r="E101" s="374" t="s">
        <v>1229</v>
      </c>
      <c r="F101" s="374" t="s">
        <v>256</v>
      </c>
      <c r="G101" s="374" t="s">
        <v>257</v>
      </c>
      <c r="H101" s="374" t="s">
        <v>1124</v>
      </c>
      <c r="I101" s="379">
        <v>123554.86</v>
      </c>
      <c r="J101" s="378"/>
      <c r="K101" s="378"/>
      <c r="L101" s="378"/>
      <c r="M101" s="378"/>
      <c r="N101" s="377">
        <v>123554.86</v>
      </c>
      <c r="O101" s="363"/>
      <c r="P101" s="376">
        <f>IFERROR(VLOOKUP($H101,'Acq Adj - DEPR RATES'!$D$1:$G$31,4,FALSE),0)</f>
        <v>4.9299999999999997E-2</v>
      </c>
      <c r="Q101" s="375">
        <f>N101*P101</f>
        <v>6091.2545979999995</v>
      </c>
      <c r="R101" s="364"/>
    </row>
    <row r="102" spans="1:18" ht="33.75">
      <c r="A102" s="374" t="s">
        <v>1022</v>
      </c>
      <c r="B102" s="374" t="s">
        <v>1037</v>
      </c>
      <c r="C102" s="373" t="s">
        <v>1125</v>
      </c>
      <c r="D102" s="372"/>
      <c r="E102" s="372"/>
      <c r="F102" s="372"/>
      <c r="G102" s="372"/>
      <c r="H102" s="372"/>
      <c r="I102" s="371">
        <v>133238.22</v>
      </c>
      <c r="J102" s="370"/>
      <c r="K102" s="370"/>
      <c r="L102" s="370"/>
      <c r="M102" s="370"/>
      <c r="N102" s="369">
        <v>133238.22</v>
      </c>
      <c r="O102" s="363"/>
      <c r="P102" s="368"/>
      <c r="Q102" s="367">
        <f>SUM(Q100:Q101)</f>
        <v>6091.2545979999995</v>
      </c>
      <c r="R102" s="364"/>
    </row>
    <row r="103" spans="1:18" ht="56.25">
      <c r="A103" s="374" t="s">
        <v>1022</v>
      </c>
      <c r="B103" s="374" t="s">
        <v>1037</v>
      </c>
      <c r="C103" s="374" t="s">
        <v>1039</v>
      </c>
      <c r="D103" s="374" t="s">
        <v>1093</v>
      </c>
      <c r="E103" s="374" t="s">
        <v>1229</v>
      </c>
      <c r="F103" s="374" t="s">
        <v>248</v>
      </c>
      <c r="G103" s="374" t="s">
        <v>249</v>
      </c>
      <c r="H103" s="374" t="s">
        <v>1126</v>
      </c>
      <c r="I103" s="379">
        <v>173463.58</v>
      </c>
      <c r="J103" s="378"/>
      <c r="K103" s="378"/>
      <c r="L103" s="378"/>
      <c r="M103" s="378"/>
      <c r="N103" s="377">
        <v>173463.58</v>
      </c>
      <c r="O103" s="363"/>
      <c r="P103" s="376">
        <f>IFERROR(VLOOKUP($H103,'Acq Adj - DEPR RATES'!$D$1:$G$31,4,FALSE),0)</f>
        <v>3.6299999999999999E-2</v>
      </c>
      <c r="Q103" s="375">
        <f>N103*P103</f>
        <v>6296.727953999999</v>
      </c>
      <c r="R103" s="364"/>
    </row>
    <row r="104" spans="1:18" ht="45">
      <c r="A104" s="374" t="s">
        <v>1022</v>
      </c>
      <c r="B104" s="374" t="s">
        <v>1037</v>
      </c>
      <c r="C104" s="373" t="s">
        <v>1127</v>
      </c>
      <c r="D104" s="372"/>
      <c r="E104" s="372"/>
      <c r="F104" s="372"/>
      <c r="G104" s="372"/>
      <c r="H104" s="372"/>
      <c r="I104" s="371">
        <v>173463.58</v>
      </c>
      <c r="J104" s="370"/>
      <c r="K104" s="370"/>
      <c r="L104" s="370"/>
      <c r="M104" s="370"/>
      <c r="N104" s="369">
        <v>173463.58</v>
      </c>
      <c r="O104" s="363"/>
      <c r="P104" s="368"/>
      <c r="Q104" s="367">
        <f>SUM(Q103)</f>
        <v>6296.727953999999</v>
      </c>
      <c r="R104" s="364"/>
    </row>
    <row r="105" spans="1:18" ht="56.25">
      <c r="A105" s="374" t="s">
        <v>1022</v>
      </c>
      <c r="B105" s="374" t="s">
        <v>1037</v>
      </c>
      <c r="C105" s="374" t="s">
        <v>1042</v>
      </c>
      <c r="D105" s="374" t="s">
        <v>1093</v>
      </c>
      <c r="E105" s="374" t="s">
        <v>1229</v>
      </c>
      <c r="F105" s="374" t="s">
        <v>248</v>
      </c>
      <c r="G105" s="374" t="s">
        <v>249</v>
      </c>
      <c r="H105" s="374" t="s">
        <v>1130</v>
      </c>
      <c r="I105" s="379">
        <v>26148.25</v>
      </c>
      <c r="J105" s="378"/>
      <c r="K105" s="378"/>
      <c r="L105" s="378"/>
      <c r="M105" s="378"/>
      <c r="N105" s="377">
        <v>26148.25</v>
      </c>
      <c r="O105" s="363"/>
      <c r="P105" s="376">
        <f>IFERROR(VLOOKUP($H105,'Acq Adj - DEPR RATES'!$D$1:$G$31,4,FALSE),0)</f>
        <v>2.86E-2</v>
      </c>
      <c r="Q105" s="375">
        <f>N105*P105</f>
        <v>747.83995000000004</v>
      </c>
      <c r="R105" s="364"/>
    </row>
    <row r="106" spans="1:18" ht="33.75">
      <c r="A106" s="374" t="s">
        <v>1022</v>
      </c>
      <c r="B106" s="374" t="s">
        <v>1037</v>
      </c>
      <c r="C106" s="373" t="s">
        <v>1131</v>
      </c>
      <c r="D106" s="372"/>
      <c r="E106" s="372"/>
      <c r="F106" s="372"/>
      <c r="G106" s="372"/>
      <c r="H106" s="372"/>
      <c r="I106" s="371">
        <v>26148.25</v>
      </c>
      <c r="J106" s="370"/>
      <c r="K106" s="370"/>
      <c r="L106" s="370"/>
      <c r="M106" s="370"/>
      <c r="N106" s="369">
        <v>26148.25</v>
      </c>
      <c r="O106" s="363"/>
      <c r="P106" s="368"/>
      <c r="Q106" s="367">
        <f>SUM(Q105)</f>
        <v>747.83995000000004</v>
      </c>
      <c r="R106" s="364"/>
    </row>
    <row r="107" spans="1:18" ht="56.25">
      <c r="A107" s="374" t="s">
        <v>1022</v>
      </c>
      <c r="B107" s="374" t="s">
        <v>1037</v>
      </c>
      <c r="C107" s="374" t="s">
        <v>1043</v>
      </c>
      <c r="D107" s="374" t="s">
        <v>1093</v>
      </c>
      <c r="E107" s="374" t="s">
        <v>1229</v>
      </c>
      <c r="F107" s="374" t="s">
        <v>248</v>
      </c>
      <c r="G107" s="374" t="s">
        <v>249</v>
      </c>
      <c r="H107" s="374" t="s">
        <v>1132</v>
      </c>
      <c r="I107" s="379">
        <v>434479.27</v>
      </c>
      <c r="J107" s="378"/>
      <c r="K107" s="378"/>
      <c r="L107" s="378"/>
      <c r="M107" s="378"/>
      <c r="N107" s="377">
        <v>434479.27</v>
      </c>
      <c r="O107" s="363"/>
      <c r="P107" s="376">
        <f>IFERROR(VLOOKUP($H107,'Acq Adj - DEPR RATES'!$D$1:$G$31,4,FALSE),0)</f>
        <v>0.04</v>
      </c>
      <c r="Q107" s="375">
        <f>N107*P107</f>
        <v>17379.1708</v>
      </c>
      <c r="R107" s="364"/>
    </row>
    <row r="108" spans="1:18" ht="45">
      <c r="A108" s="374" t="s">
        <v>1022</v>
      </c>
      <c r="B108" s="374" t="s">
        <v>1037</v>
      </c>
      <c r="C108" s="373" t="s">
        <v>1133</v>
      </c>
      <c r="D108" s="372"/>
      <c r="E108" s="372"/>
      <c r="F108" s="372"/>
      <c r="G108" s="372"/>
      <c r="H108" s="372"/>
      <c r="I108" s="371">
        <v>434479.27</v>
      </c>
      <c r="J108" s="370"/>
      <c r="K108" s="370"/>
      <c r="L108" s="370"/>
      <c r="M108" s="370"/>
      <c r="N108" s="369">
        <v>434479.27</v>
      </c>
      <c r="O108" s="363"/>
      <c r="P108" s="368"/>
      <c r="Q108" s="367">
        <f>SUM(Q107)</f>
        <v>17379.1708</v>
      </c>
      <c r="R108" s="364"/>
    </row>
    <row r="109" spans="1:18" ht="56.25">
      <c r="A109" s="374" t="s">
        <v>1022</v>
      </c>
      <c r="B109" s="374" t="s">
        <v>1037</v>
      </c>
      <c r="C109" s="374" t="s">
        <v>1045</v>
      </c>
      <c r="D109" s="374" t="s">
        <v>1093</v>
      </c>
      <c r="E109" s="374" t="s">
        <v>1229</v>
      </c>
      <c r="F109" s="374" t="s">
        <v>248</v>
      </c>
      <c r="G109" s="374" t="s">
        <v>249</v>
      </c>
      <c r="H109" s="374" t="s">
        <v>1134</v>
      </c>
      <c r="I109" s="379">
        <v>-12899.8</v>
      </c>
      <c r="J109" s="378"/>
      <c r="K109" s="378"/>
      <c r="L109" s="378"/>
      <c r="M109" s="378"/>
      <c r="N109" s="377">
        <v>-12899.8</v>
      </c>
      <c r="O109" s="363"/>
      <c r="P109" s="376">
        <f>IFERROR(VLOOKUP($H109,'Acq Adj - DEPR RATES'!$D$1:$G$31,4,FALSE),0)</f>
        <v>4.4900000000000002E-2</v>
      </c>
      <c r="Q109" s="375">
        <f>N109*P109</f>
        <v>-579.20101999999997</v>
      </c>
      <c r="R109" s="364"/>
    </row>
    <row r="110" spans="1:18" ht="45">
      <c r="A110" s="374" t="s">
        <v>1022</v>
      </c>
      <c r="B110" s="374" t="s">
        <v>1037</v>
      </c>
      <c r="C110" s="373" t="s">
        <v>1135</v>
      </c>
      <c r="D110" s="372"/>
      <c r="E110" s="372"/>
      <c r="F110" s="372"/>
      <c r="G110" s="372"/>
      <c r="H110" s="372"/>
      <c r="I110" s="371">
        <v>-12899.8</v>
      </c>
      <c r="J110" s="370"/>
      <c r="K110" s="370"/>
      <c r="L110" s="370"/>
      <c r="M110" s="370"/>
      <c r="N110" s="369">
        <v>-12899.8</v>
      </c>
      <c r="O110" s="363"/>
      <c r="P110" s="368"/>
      <c r="Q110" s="367">
        <f>SUM(Q109)</f>
        <v>-579.20101999999997</v>
      </c>
      <c r="R110" s="380" t="s">
        <v>1257</v>
      </c>
    </row>
    <row r="111" spans="1:18" ht="56.25">
      <c r="A111" s="374" t="s">
        <v>1022</v>
      </c>
      <c r="B111" s="374" t="s">
        <v>1037</v>
      </c>
      <c r="C111" s="374" t="s">
        <v>1053</v>
      </c>
      <c r="D111" s="374" t="s">
        <v>1093</v>
      </c>
      <c r="E111" s="374" t="s">
        <v>1229</v>
      </c>
      <c r="F111" s="374" t="s">
        <v>248</v>
      </c>
      <c r="G111" s="374" t="s">
        <v>249</v>
      </c>
      <c r="H111" s="374" t="s">
        <v>1136</v>
      </c>
      <c r="I111" s="379">
        <v>-728.19</v>
      </c>
      <c r="J111" s="378"/>
      <c r="K111" s="378"/>
      <c r="L111" s="378"/>
      <c r="M111" s="378"/>
      <c r="N111" s="377">
        <v>-728.19</v>
      </c>
      <c r="O111" s="363"/>
      <c r="P111" s="376">
        <f>IFERROR(VLOOKUP($H111,'Acq Adj - DEPR RATES'!$D$1:$G$31,4,FALSE),0)</f>
        <v>0.04</v>
      </c>
      <c r="Q111" s="375">
        <f>N111*P111</f>
        <v>-29.127600000000001</v>
      </c>
      <c r="R111" s="364"/>
    </row>
    <row r="112" spans="1:18" ht="45">
      <c r="A112" s="374" t="s">
        <v>1022</v>
      </c>
      <c r="B112" s="374" t="s">
        <v>1037</v>
      </c>
      <c r="C112" s="373" t="s">
        <v>1137</v>
      </c>
      <c r="D112" s="372"/>
      <c r="E112" s="372"/>
      <c r="F112" s="372"/>
      <c r="G112" s="372"/>
      <c r="H112" s="372"/>
      <c r="I112" s="371">
        <v>-728.19</v>
      </c>
      <c r="J112" s="370"/>
      <c r="K112" s="370"/>
      <c r="L112" s="370"/>
      <c r="M112" s="370"/>
      <c r="N112" s="369">
        <v>-728.19</v>
      </c>
      <c r="O112" s="363"/>
      <c r="P112" s="368"/>
      <c r="Q112" s="367">
        <f>SUM(Q111)</f>
        <v>-29.127600000000001</v>
      </c>
      <c r="R112" s="364"/>
    </row>
    <row r="113" spans="1:18">
      <c r="A113" s="374" t="s">
        <v>1022</v>
      </c>
      <c r="B113" s="373" t="s">
        <v>1054</v>
      </c>
      <c r="C113" s="372"/>
      <c r="D113" s="372"/>
      <c r="E113" s="372"/>
      <c r="F113" s="372"/>
      <c r="G113" s="372"/>
      <c r="H113" s="372"/>
      <c r="I113" s="371">
        <v>753701.33</v>
      </c>
      <c r="J113" s="370"/>
      <c r="K113" s="370"/>
      <c r="L113" s="370"/>
      <c r="M113" s="370"/>
      <c r="N113" s="369">
        <v>753701.33</v>
      </c>
      <c r="O113" s="363"/>
      <c r="P113" s="368"/>
      <c r="Q113" s="367">
        <f>Q112+Q110+Q108+Q106+Q104+Q102</f>
        <v>29906.664681999999</v>
      </c>
      <c r="R113" s="364"/>
    </row>
    <row r="114" spans="1:18" ht="56.25">
      <c r="A114" s="374" t="s">
        <v>1022</v>
      </c>
      <c r="B114" s="374" t="s">
        <v>1055</v>
      </c>
      <c r="C114" s="374" t="s">
        <v>1056</v>
      </c>
      <c r="D114" s="374" t="s">
        <v>1093</v>
      </c>
      <c r="E114" s="374" t="s">
        <v>1229</v>
      </c>
      <c r="F114" s="374" t="s">
        <v>248</v>
      </c>
      <c r="G114" s="374" t="s">
        <v>249</v>
      </c>
      <c r="H114" s="374" t="s">
        <v>1138</v>
      </c>
      <c r="I114" s="379">
        <v>20651.87</v>
      </c>
      <c r="J114" s="378"/>
      <c r="K114" s="378"/>
      <c r="L114" s="378"/>
      <c r="M114" s="378"/>
      <c r="N114" s="377">
        <v>20651.87</v>
      </c>
      <c r="O114" s="363"/>
      <c r="P114" s="376">
        <f>IFERROR(VLOOKUP($H114,'Acq Adj - DEPR RATES'!$D$1:$G$31,4,FALSE),0)</f>
        <v>0.04</v>
      </c>
      <c r="Q114" s="375">
        <f>N114*P114</f>
        <v>826.07479999999998</v>
      </c>
      <c r="R114" s="364"/>
    </row>
    <row r="115" spans="1:18" ht="33.75">
      <c r="A115" s="374" t="s">
        <v>1022</v>
      </c>
      <c r="B115" s="374" t="s">
        <v>1055</v>
      </c>
      <c r="C115" s="373" t="s">
        <v>1139</v>
      </c>
      <c r="D115" s="372"/>
      <c r="E115" s="372"/>
      <c r="F115" s="372"/>
      <c r="G115" s="372"/>
      <c r="H115" s="372"/>
      <c r="I115" s="371">
        <v>20651.87</v>
      </c>
      <c r="J115" s="370"/>
      <c r="K115" s="370"/>
      <c r="L115" s="370"/>
      <c r="M115" s="370"/>
      <c r="N115" s="369">
        <v>20651.87</v>
      </c>
      <c r="O115" s="363"/>
      <c r="P115" s="368"/>
      <c r="Q115" s="367">
        <f>Q114</f>
        <v>826.07479999999998</v>
      </c>
      <c r="R115" s="364"/>
    </row>
    <row r="116" spans="1:18">
      <c r="A116" s="374" t="s">
        <v>1022</v>
      </c>
      <c r="B116" s="373" t="s">
        <v>1061</v>
      </c>
      <c r="C116" s="372"/>
      <c r="D116" s="372"/>
      <c r="E116" s="372"/>
      <c r="F116" s="372"/>
      <c r="G116" s="372"/>
      <c r="H116" s="372"/>
      <c r="I116" s="371">
        <v>20651.87</v>
      </c>
      <c r="J116" s="370"/>
      <c r="K116" s="370"/>
      <c r="L116" s="370"/>
      <c r="M116" s="370"/>
      <c r="N116" s="369">
        <v>20651.87</v>
      </c>
      <c r="O116" s="363"/>
      <c r="P116" s="368"/>
      <c r="Q116" s="367">
        <f>Q115</f>
        <v>826.07479999999998</v>
      </c>
      <c r="R116" s="364"/>
    </row>
    <row r="117" spans="1:18">
      <c r="A117" s="373" t="s">
        <v>1069</v>
      </c>
      <c r="B117" s="372"/>
      <c r="C117" s="372"/>
      <c r="D117" s="372"/>
      <c r="E117" s="372"/>
      <c r="F117" s="372"/>
      <c r="G117" s="372"/>
      <c r="H117" s="372"/>
      <c r="I117" s="371">
        <v>18097950.960000001</v>
      </c>
      <c r="J117" s="370"/>
      <c r="K117" s="370"/>
      <c r="L117" s="370"/>
      <c r="M117" s="370"/>
      <c r="N117" s="369">
        <v>18097950.960000001</v>
      </c>
      <c r="O117" s="363"/>
      <c r="P117" s="368"/>
      <c r="Q117" s="367">
        <f>Q116+Q113+Q99</f>
        <v>349438.437424</v>
      </c>
      <c r="R117" s="364"/>
    </row>
    <row r="118" spans="1:18" ht="22.5">
      <c r="A118" s="373" t="s">
        <v>78</v>
      </c>
      <c r="B118" s="372"/>
      <c r="C118" s="372"/>
      <c r="D118" s="372"/>
      <c r="E118" s="372"/>
      <c r="F118" s="372"/>
      <c r="G118" s="372"/>
      <c r="H118" s="372"/>
      <c r="I118" s="371">
        <v>18097950.960000001</v>
      </c>
      <c r="J118" s="370"/>
      <c r="K118" s="370"/>
      <c r="L118" s="370"/>
      <c r="M118" s="370"/>
      <c r="N118" s="369">
        <v>18097950.960000001</v>
      </c>
      <c r="O118" s="363"/>
      <c r="P118" s="368"/>
      <c r="Q118" s="367">
        <f>Q117</f>
        <v>349438.437424</v>
      </c>
      <c r="R118" s="364" t="s">
        <v>1231</v>
      </c>
    </row>
    <row r="119" spans="1:18">
      <c r="A119" s="363"/>
      <c r="B119" s="363"/>
      <c r="C119" s="363"/>
      <c r="D119" s="363"/>
      <c r="E119" s="363"/>
      <c r="F119" s="363"/>
      <c r="G119" s="363"/>
      <c r="H119" s="363"/>
      <c r="I119" s="363"/>
      <c r="J119" s="363"/>
      <c r="K119" s="363"/>
      <c r="L119" s="363"/>
      <c r="M119" s="363"/>
      <c r="N119" s="363"/>
      <c r="O119" s="363"/>
      <c r="P119" s="362"/>
      <c r="Q119" s="365"/>
      <c r="R119" s="364"/>
    </row>
    <row r="120" spans="1:18">
      <c r="A120" s="363"/>
      <c r="B120" s="363"/>
      <c r="C120" s="363"/>
      <c r="D120" s="363"/>
      <c r="E120" s="363"/>
      <c r="F120" s="363"/>
      <c r="G120" s="363"/>
      <c r="H120" s="363"/>
      <c r="I120" s="363"/>
      <c r="J120" s="363"/>
      <c r="K120" s="363"/>
      <c r="L120" s="363"/>
      <c r="M120" s="363"/>
      <c r="N120" s="366"/>
      <c r="O120" s="363"/>
      <c r="P120" s="362"/>
      <c r="Q120" s="365">
        <f>Q110+Q50</f>
        <v>-1130.1990029999999</v>
      </c>
      <c r="R120" s="364" t="s">
        <v>1230</v>
      </c>
    </row>
    <row r="121" spans="1:18" ht="15.75" thickBot="1">
      <c r="A121" s="363"/>
      <c r="B121" s="363"/>
      <c r="C121" s="363"/>
      <c r="D121" s="363"/>
      <c r="E121" s="363"/>
      <c r="F121" s="363"/>
      <c r="G121" s="363"/>
      <c r="H121" s="363"/>
      <c r="I121" s="363"/>
      <c r="J121" s="363"/>
      <c r="K121" s="363"/>
      <c r="L121" s="363"/>
      <c r="M121" s="363"/>
      <c r="N121" s="363"/>
      <c r="O121" s="363"/>
      <c r="P121" s="362"/>
      <c r="Q121" s="361">
        <f>Q118+Q71-Q120</f>
        <v>-877257.4388469999</v>
      </c>
      <c r="R121" s="282" t="s">
        <v>1258</v>
      </c>
    </row>
    <row r="122" spans="1:18" ht="15.75" thickTop="1"/>
  </sheetData>
  <mergeCells count="2">
    <mergeCell ref="A1:G1"/>
    <mergeCell ref="A2:G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B38B-AD2F-4D4F-B436-6ECEA8B15F54}">
  <dimension ref="A1:J31"/>
  <sheetViews>
    <sheetView workbookViewId="0">
      <selection activeCell="Q119" sqref="Q119:Q121"/>
    </sheetView>
  </sheetViews>
  <sheetFormatPr defaultColWidth="9.140625" defaultRowHeight="15"/>
  <cols>
    <col min="1" max="1" width="16.28515625" style="363" bestFit="1" customWidth="1"/>
    <col min="2" max="2" width="11.42578125" style="363" bestFit="1" customWidth="1"/>
    <col min="3" max="3" width="17.28515625" style="363" bestFit="1" customWidth="1"/>
    <col min="4" max="4" width="17.5703125" style="363" bestFit="1" customWidth="1"/>
    <col min="5" max="5" width="16.7109375" style="363" bestFit="1" customWidth="1"/>
    <col min="6" max="6" width="16.42578125" style="363" bestFit="1" customWidth="1"/>
    <col min="7" max="7" width="18" style="363" bestFit="1" customWidth="1"/>
    <col min="8" max="9" width="9.140625" style="363"/>
    <col min="10" max="10" width="24.140625" style="363" bestFit="1" customWidth="1"/>
    <col min="11" max="16384" width="9.140625" style="363"/>
  </cols>
  <sheetData>
    <row r="1" spans="1:10">
      <c r="A1" s="408" t="s">
        <v>1243</v>
      </c>
      <c r="B1" s="408" t="s">
        <v>1242</v>
      </c>
      <c r="C1" s="407" t="s">
        <v>313</v>
      </c>
      <c r="D1" s="407" t="s">
        <v>412</v>
      </c>
      <c r="E1" s="406" t="s">
        <v>1241</v>
      </c>
      <c r="F1" s="406" t="s">
        <v>1240</v>
      </c>
      <c r="G1" s="406" t="s">
        <v>1239</v>
      </c>
      <c r="J1" s="405" t="s">
        <v>1238</v>
      </c>
    </row>
    <row r="2" spans="1:10">
      <c r="A2" s="404">
        <v>202406</v>
      </c>
      <c r="B2" s="404">
        <v>32</v>
      </c>
      <c r="C2" s="403" t="s">
        <v>807</v>
      </c>
      <c r="D2" s="403" t="s">
        <v>1138</v>
      </c>
      <c r="E2" s="402">
        <v>0.04</v>
      </c>
      <c r="F2" s="402">
        <v>0</v>
      </c>
      <c r="G2" s="402">
        <v>0.04</v>
      </c>
    </row>
    <row r="3" spans="1:10">
      <c r="A3" s="404">
        <v>202406</v>
      </c>
      <c r="B3" s="404">
        <v>32</v>
      </c>
      <c r="C3" s="403" t="s">
        <v>807</v>
      </c>
      <c r="D3" s="403" t="s">
        <v>1140</v>
      </c>
      <c r="E3" s="402">
        <v>6.6699999999999995E-2</v>
      </c>
      <c r="F3" s="402">
        <v>0</v>
      </c>
      <c r="G3" s="402">
        <v>6.6699999999999995E-2</v>
      </c>
    </row>
    <row r="4" spans="1:10">
      <c r="A4" s="404">
        <v>202406</v>
      </c>
      <c r="B4" s="404">
        <v>32</v>
      </c>
      <c r="C4" s="403" t="s">
        <v>807</v>
      </c>
      <c r="D4" s="403" t="s">
        <v>1142</v>
      </c>
      <c r="E4" s="402">
        <v>1.3899999999999999E-2</v>
      </c>
      <c r="F4" s="402">
        <v>0</v>
      </c>
      <c r="G4" s="402">
        <v>1.3899999999999999E-2</v>
      </c>
    </row>
    <row r="5" spans="1:10">
      <c r="A5" s="404">
        <v>202406</v>
      </c>
      <c r="B5" s="404">
        <v>32</v>
      </c>
      <c r="C5" s="403" t="s">
        <v>807</v>
      </c>
      <c r="D5" s="403" t="s">
        <v>1144</v>
      </c>
      <c r="E5" s="402">
        <v>1.52E-2</v>
      </c>
      <c r="F5" s="402">
        <v>0</v>
      </c>
      <c r="G5" s="402">
        <v>1.52E-2</v>
      </c>
    </row>
    <row r="6" spans="1:10">
      <c r="A6" s="404">
        <v>202406</v>
      </c>
      <c r="B6" s="404">
        <v>32</v>
      </c>
      <c r="C6" s="403" t="s">
        <v>807</v>
      </c>
      <c r="D6" s="403" t="s">
        <v>1146</v>
      </c>
      <c r="E6" s="402">
        <v>1.4E-2</v>
      </c>
      <c r="F6" s="402">
        <v>0</v>
      </c>
      <c r="G6" s="402">
        <v>1.4E-2</v>
      </c>
    </row>
    <row r="7" spans="1:10">
      <c r="A7" s="404">
        <v>202406</v>
      </c>
      <c r="B7" s="404">
        <v>32</v>
      </c>
      <c r="C7" s="403" t="s">
        <v>807</v>
      </c>
      <c r="D7" s="403" t="s">
        <v>1148</v>
      </c>
      <c r="E7" s="402">
        <v>1.47E-2</v>
      </c>
      <c r="F7" s="402">
        <v>0</v>
      </c>
      <c r="G7" s="402">
        <v>1.47E-2</v>
      </c>
    </row>
    <row r="8" spans="1:10">
      <c r="A8" s="404">
        <v>202406</v>
      </c>
      <c r="B8" s="404">
        <v>32</v>
      </c>
      <c r="C8" s="403" t="s">
        <v>807</v>
      </c>
      <c r="D8" s="403" t="s">
        <v>1150</v>
      </c>
      <c r="E8" s="402">
        <v>2.4E-2</v>
      </c>
      <c r="F8" s="402">
        <v>0</v>
      </c>
      <c r="G8" s="402">
        <v>2.4E-2</v>
      </c>
    </row>
    <row r="9" spans="1:10">
      <c r="A9" s="404">
        <v>202406</v>
      </c>
      <c r="B9" s="404">
        <v>32</v>
      </c>
      <c r="C9" s="403" t="s">
        <v>807</v>
      </c>
      <c r="D9" s="403" t="s">
        <v>1096</v>
      </c>
      <c r="E9" s="402">
        <v>1.7399999999999999E-2</v>
      </c>
      <c r="F9" s="402">
        <v>0</v>
      </c>
      <c r="G9" s="402">
        <v>1.7399999999999999E-2</v>
      </c>
    </row>
    <row r="10" spans="1:10">
      <c r="A10" s="404">
        <v>202406</v>
      </c>
      <c r="B10" s="404">
        <v>32</v>
      </c>
      <c r="C10" s="403" t="s">
        <v>807</v>
      </c>
      <c r="D10" s="403" t="s">
        <v>1097</v>
      </c>
      <c r="E10" s="402">
        <v>0</v>
      </c>
      <c r="F10" s="402">
        <v>0</v>
      </c>
      <c r="G10" s="402">
        <v>0</v>
      </c>
    </row>
    <row r="11" spans="1:10">
      <c r="A11" s="404">
        <v>202406</v>
      </c>
      <c r="B11" s="404">
        <v>32</v>
      </c>
      <c r="C11" s="403" t="s">
        <v>807</v>
      </c>
      <c r="D11" s="403" t="s">
        <v>1098</v>
      </c>
      <c r="E11" s="402">
        <v>1.04E-2</v>
      </c>
      <c r="F11" s="402">
        <v>0</v>
      </c>
      <c r="G11" s="402">
        <v>1.04E-2</v>
      </c>
    </row>
    <row r="12" spans="1:10">
      <c r="A12" s="404">
        <v>202406</v>
      </c>
      <c r="B12" s="404">
        <v>32</v>
      </c>
      <c r="C12" s="403" t="s">
        <v>807</v>
      </c>
      <c r="D12" s="403" t="s">
        <v>1099</v>
      </c>
      <c r="E12" s="402">
        <v>0</v>
      </c>
      <c r="F12" s="402">
        <v>0</v>
      </c>
      <c r="G12" s="402">
        <v>0</v>
      </c>
    </row>
    <row r="13" spans="1:10">
      <c r="A13" s="404">
        <v>202406</v>
      </c>
      <c r="B13" s="404">
        <v>32</v>
      </c>
      <c r="C13" s="403" t="s">
        <v>807</v>
      </c>
      <c r="D13" s="403" t="s">
        <v>1101</v>
      </c>
      <c r="E13" s="402">
        <v>1.9199999999999998E-2</v>
      </c>
      <c r="F13" s="402">
        <v>0</v>
      </c>
      <c r="G13" s="402">
        <v>1.9199999999999998E-2</v>
      </c>
    </row>
    <row r="14" spans="1:10">
      <c r="A14" s="404">
        <v>202406</v>
      </c>
      <c r="B14" s="404">
        <v>32</v>
      </c>
      <c r="C14" s="403" t="s">
        <v>807</v>
      </c>
      <c r="D14" s="403" t="s">
        <v>1103</v>
      </c>
      <c r="E14" s="402">
        <v>1.7399999999999999E-2</v>
      </c>
      <c r="F14" s="402">
        <v>0</v>
      </c>
      <c r="G14" s="402">
        <v>1.7399999999999999E-2</v>
      </c>
    </row>
    <row r="15" spans="1:10">
      <c r="A15" s="404">
        <v>202406</v>
      </c>
      <c r="B15" s="404">
        <v>32</v>
      </c>
      <c r="C15" s="403" t="s">
        <v>807</v>
      </c>
      <c r="D15" s="403" t="s">
        <v>1105</v>
      </c>
      <c r="E15" s="402">
        <v>2.4E-2</v>
      </c>
      <c r="F15" s="402">
        <v>0</v>
      </c>
      <c r="G15" s="402">
        <v>2.4E-2</v>
      </c>
    </row>
    <row r="16" spans="1:10">
      <c r="A16" s="404">
        <v>202406</v>
      </c>
      <c r="B16" s="404">
        <v>32</v>
      </c>
      <c r="C16" s="403" t="s">
        <v>807</v>
      </c>
      <c r="D16" s="403" t="s">
        <v>1107</v>
      </c>
      <c r="E16" s="402">
        <v>2.4E-2</v>
      </c>
      <c r="F16" s="402">
        <v>0</v>
      </c>
      <c r="G16" s="402">
        <v>2.4E-2</v>
      </c>
    </row>
    <row r="17" spans="1:7">
      <c r="A17" s="404">
        <v>202406</v>
      </c>
      <c r="B17" s="404">
        <v>32</v>
      </c>
      <c r="C17" s="403" t="s">
        <v>807</v>
      </c>
      <c r="D17" s="403" t="s">
        <v>1109</v>
      </c>
      <c r="E17" s="402">
        <v>1.9099999999999999E-2</v>
      </c>
      <c r="F17" s="402">
        <v>0</v>
      </c>
      <c r="G17" s="402">
        <v>1.9099999999999999E-2</v>
      </c>
    </row>
    <row r="18" spans="1:7">
      <c r="A18" s="404">
        <v>202406</v>
      </c>
      <c r="B18" s="404">
        <v>32</v>
      </c>
      <c r="C18" s="403" t="s">
        <v>807</v>
      </c>
      <c r="D18" s="403" t="s">
        <v>1111</v>
      </c>
      <c r="E18" s="402">
        <v>2.3599999999999999E-2</v>
      </c>
      <c r="F18" s="402">
        <v>0</v>
      </c>
      <c r="G18" s="402">
        <v>2.3599999999999999E-2</v>
      </c>
    </row>
    <row r="19" spans="1:7">
      <c r="A19" s="404">
        <v>202406</v>
      </c>
      <c r="B19" s="404">
        <v>32</v>
      </c>
      <c r="C19" s="403" t="s">
        <v>807</v>
      </c>
      <c r="D19" s="403" t="s">
        <v>1113</v>
      </c>
      <c r="E19" s="402">
        <v>2.3599999999999999E-2</v>
      </c>
      <c r="F19" s="402">
        <v>0</v>
      </c>
      <c r="G19" s="402">
        <v>2.3599999999999999E-2</v>
      </c>
    </row>
    <row r="20" spans="1:7">
      <c r="A20" s="404">
        <v>202406</v>
      </c>
      <c r="B20" s="404">
        <v>32</v>
      </c>
      <c r="C20" s="403" t="s">
        <v>807</v>
      </c>
      <c r="D20" s="403" t="s">
        <v>1115</v>
      </c>
      <c r="E20" s="402">
        <v>2.58E-2</v>
      </c>
      <c r="F20" s="402">
        <v>0</v>
      </c>
      <c r="G20" s="402">
        <v>2.58E-2</v>
      </c>
    </row>
    <row r="21" spans="1:7">
      <c r="A21" s="404">
        <v>202406</v>
      </c>
      <c r="B21" s="404">
        <v>32</v>
      </c>
      <c r="C21" s="403" t="s">
        <v>807</v>
      </c>
      <c r="D21" s="403" t="s">
        <v>1117</v>
      </c>
      <c r="E21" s="402">
        <v>2.76E-2</v>
      </c>
      <c r="F21" s="402">
        <v>0</v>
      </c>
      <c r="G21" s="402">
        <v>2.76E-2</v>
      </c>
    </row>
    <row r="22" spans="1:7">
      <c r="A22" s="404">
        <v>202406</v>
      </c>
      <c r="B22" s="404">
        <v>32</v>
      </c>
      <c r="C22" s="403" t="s">
        <v>807</v>
      </c>
      <c r="D22" s="403" t="s">
        <v>1119</v>
      </c>
      <c r="E22" s="402">
        <v>2.1100000000000001E-2</v>
      </c>
      <c r="F22" s="402">
        <v>0</v>
      </c>
      <c r="G22" s="402">
        <v>2.1100000000000001E-2</v>
      </c>
    </row>
    <row r="23" spans="1:7">
      <c r="A23" s="404">
        <v>202406</v>
      </c>
      <c r="B23" s="404">
        <v>32</v>
      </c>
      <c r="C23" s="403" t="s">
        <v>807</v>
      </c>
      <c r="D23" s="403" t="s">
        <v>1121</v>
      </c>
      <c r="E23" s="402">
        <v>3.0200000000000001E-2</v>
      </c>
      <c r="F23" s="402">
        <v>0</v>
      </c>
      <c r="G23" s="402">
        <v>3.0200000000000001E-2</v>
      </c>
    </row>
    <row r="24" spans="1:7">
      <c r="A24" s="404">
        <v>202406</v>
      </c>
      <c r="B24" s="404">
        <v>32</v>
      </c>
      <c r="C24" s="403" t="s">
        <v>807</v>
      </c>
      <c r="D24" s="403" t="s">
        <v>1123</v>
      </c>
      <c r="E24" s="402">
        <v>0</v>
      </c>
      <c r="F24" s="402">
        <v>0</v>
      </c>
      <c r="G24" s="402">
        <v>0</v>
      </c>
    </row>
    <row r="25" spans="1:7">
      <c r="A25" s="404">
        <v>202406</v>
      </c>
      <c r="B25" s="404">
        <v>32</v>
      </c>
      <c r="C25" s="403" t="s">
        <v>807</v>
      </c>
      <c r="D25" s="403" t="s">
        <v>1124</v>
      </c>
      <c r="E25" s="402">
        <v>4.9299999999999997E-2</v>
      </c>
      <c r="F25" s="402">
        <v>0</v>
      </c>
      <c r="G25" s="402">
        <v>4.9299999999999997E-2</v>
      </c>
    </row>
    <row r="26" spans="1:7">
      <c r="A26" s="404">
        <v>202406</v>
      </c>
      <c r="B26" s="404">
        <v>32</v>
      </c>
      <c r="C26" s="403" t="s">
        <v>807</v>
      </c>
      <c r="D26" s="403" t="s">
        <v>1126</v>
      </c>
      <c r="E26" s="402">
        <v>3.6299999999999999E-2</v>
      </c>
      <c r="F26" s="402">
        <v>0</v>
      </c>
      <c r="G26" s="402">
        <v>3.6299999999999999E-2</v>
      </c>
    </row>
    <row r="27" spans="1:7">
      <c r="A27" s="404">
        <v>202406</v>
      </c>
      <c r="B27" s="404">
        <v>32</v>
      </c>
      <c r="C27" s="403" t="s">
        <v>807</v>
      </c>
      <c r="D27" s="403" t="s">
        <v>1128</v>
      </c>
      <c r="E27" s="402">
        <v>4.5499999999999999E-2</v>
      </c>
      <c r="F27" s="402">
        <v>0</v>
      </c>
      <c r="G27" s="402">
        <v>4.5499999999999999E-2</v>
      </c>
    </row>
    <row r="28" spans="1:7">
      <c r="A28" s="404">
        <v>202406</v>
      </c>
      <c r="B28" s="404">
        <v>32</v>
      </c>
      <c r="C28" s="403" t="s">
        <v>807</v>
      </c>
      <c r="D28" s="403" t="s">
        <v>1130</v>
      </c>
      <c r="E28" s="402">
        <v>2.86E-2</v>
      </c>
      <c r="F28" s="402">
        <v>0</v>
      </c>
      <c r="G28" s="402">
        <v>2.86E-2</v>
      </c>
    </row>
    <row r="29" spans="1:7">
      <c r="A29" s="404">
        <v>202406</v>
      </c>
      <c r="B29" s="404">
        <v>32</v>
      </c>
      <c r="C29" s="403" t="s">
        <v>807</v>
      </c>
      <c r="D29" s="403" t="s">
        <v>1132</v>
      </c>
      <c r="E29" s="402">
        <v>0.04</v>
      </c>
      <c r="F29" s="402">
        <v>0</v>
      </c>
      <c r="G29" s="402">
        <v>0.04</v>
      </c>
    </row>
    <row r="30" spans="1:7">
      <c r="A30" s="404">
        <v>202406</v>
      </c>
      <c r="B30" s="404">
        <v>32</v>
      </c>
      <c r="C30" s="403" t="s">
        <v>807</v>
      </c>
      <c r="D30" s="403" t="s">
        <v>1134</v>
      </c>
      <c r="E30" s="402">
        <v>4.4900000000000002E-2</v>
      </c>
      <c r="F30" s="402">
        <v>0</v>
      </c>
      <c r="G30" s="402">
        <v>4.4900000000000002E-2</v>
      </c>
    </row>
    <row r="31" spans="1:7">
      <c r="A31" s="404">
        <v>202406</v>
      </c>
      <c r="B31" s="404">
        <v>32</v>
      </c>
      <c r="C31" s="403" t="s">
        <v>807</v>
      </c>
      <c r="D31" s="403" t="s">
        <v>1136</v>
      </c>
      <c r="E31" s="402">
        <v>0.04</v>
      </c>
      <c r="F31" s="402">
        <v>0</v>
      </c>
      <c r="G31" s="402">
        <v>0.04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EEDC-D98B-4A51-92C7-03D214ADE5D2}">
  <sheetPr>
    <pageSetUpPr fitToPage="1"/>
  </sheetPr>
  <dimension ref="A1:X851"/>
  <sheetViews>
    <sheetView zoomScaleNormal="100" workbookViewId="0">
      <selection activeCell="U32" sqref="A4:U32"/>
    </sheetView>
  </sheetViews>
  <sheetFormatPr defaultColWidth="9.140625" defaultRowHeight="15"/>
  <cols>
    <col min="1" max="1" width="10.7109375" style="173" customWidth="1"/>
    <col min="2" max="2" width="14.7109375" style="173" customWidth="1"/>
    <col min="3" max="3" width="10.28515625" style="173" customWidth="1"/>
    <col min="4" max="4" width="24.42578125" style="173" customWidth="1"/>
    <col min="5" max="5" width="9" style="174" hidden="1" customWidth="1"/>
    <col min="6" max="6" width="26.5703125" style="173" hidden="1" customWidth="1"/>
    <col min="7" max="7" width="12.140625" style="173" hidden="1" customWidth="1"/>
    <col min="8" max="8" width="27.7109375" style="173" hidden="1" customWidth="1"/>
    <col min="9" max="9" width="5" style="173" hidden="1" customWidth="1"/>
    <col min="10" max="10" width="34.85546875" style="173" bestFit="1" customWidth="1"/>
    <col min="11" max="11" width="10.28515625" style="173" customWidth="1"/>
    <col min="12" max="12" width="9.5703125" style="173" bestFit="1" customWidth="1"/>
    <col min="13" max="13" width="31.85546875" style="173" customWidth="1"/>
    <col min="14" max="14" width="11.85546875" style="174" customWidth="1"/>
    <col min="15" max="15" width="8.7109375" style="174" bestFit="1" customWidth="1"/>
    <col min="16" max="16" width="17.7109375" style="173" bestFit="1" customWidth="1"/>
    <col min="17" max="17" width="7.28515625" style="174" bestFit="1" customWidth="1"/>
    <col min="18" max="18" width="9.7109375" style="174" customWidth="1"/>
    <col min="19" max="19" width="14.5703125" style="174" bestFit="1" customWidth="1"/>
    <col min="20" max="20" width="7.85546875" style="174" bestFit="1" customWidth="1"/>
    <col min="21" max="21" width="12.42578125" style="174" bestFit="1" customWidth="1"/>
    <col min="22" max="22" width="9.140625" style="174"/>
    <col min="23" max="23" width="14.28515625" style="175" bestFit="1" customWidth="1"/>
    <col min="24" max="24" width="11.5703125" style="174" bestFit="1" customWidth="1"/>
    <col min="25" max="16384" width="9.140625" style="174"/>
  </cols>
  <sheetData>
    <row r="1" spans="1:24">
      <c r="A1" s="173" t="s">
        <v>733</v>
      </c>
    </row>
    <row r="2" spans="1:24">
      <c r="A2" s="176" t="s">
        <v>734</v>
      </c>
    </row>
    <row r="3" spans="1:24">
      <c r="G3" s="734" t="s">
        <v>735</v>
      </c>
      <c r="H3" s="734"/>
      <c r="J3" s="177" t="s">
        <v>736</v>
      </c>
    </row>
    <row r="4" spans="1:24" s="180" customFormat="1" ht="45">
      <c r="A4" s="178" t="s">
        <v>737</v>
      </c>
      <c r="B4" s="178" t="s">
        <v>738</v>
      </c>
      <c r="C4" s="178" t="s">
        <v>739</v>
      </c>
      <c r="D4" s="178" t="s">
        <v>313</v>
      </c>
      <c r="E4" s="179" t="s">
        <v>740</v>
      </c>
      <c r="F4" s="178" t="s">
        <v>741</v>
      </c>
      <c r="G4" s="178" t="s">
        <v>742</v>
      </c>
      <c r="H4" s="178" t="s">
        <v>743</v>
      </c>
      <c r="I4" s="178" t="s">
        <v>744</v>
      </c>
      <c r="J4" s="178" t="s">
        <v>241</v>
      </c>
      <c r="K4" s="178" t="s">
        <v>74</v>
      </c>
      <c r="L4" s="178" t="s">
        <v>745</v>
      </c>
      <c r="M4" s="178" t="s">
        <v>746</v>
      </c>
      <c r="N4" s="179" t="s">
        <v>747</v>
      </c>
      <c r="O4" s="179" t="s">
        <v>748</v>
      </c>
      <c r="P4" s="178" t="s">
        <v>412</v>
      </c>
      <c r="Q4" s="179" t="s">
        <v>749</v>
      </c>
      <c r="R4" s="179" t="s">
        <v>300</v>
      </c>
      <c r="S4" s="179" t="s">
        <v>750</v>
      </c>
      <c r="T4" s="179" t="s">
        <v>135</v>
      </c>
      <c r="U4" s="179" t="s">
        <v>751</v>
      </c>
      <c r="W4" s="181"/>
    </row>
    <row r="5" spans="1:24" ht="15" customHeight="1">
      <c r="A5" s="173" t="s">
        <v>752</v>
      </c>
      <c r="B5" s="173" t="s">
        <v>753</v>
      </c>
      <c r="C5" s="173" t="s">
        <v>754</v>
      </c>
      <c r="D5" s="173" t="s">
        <v>429</v>
      </c>
      <c r="E5" s="174">
        <v>29991971</v>
      </c>
      <c r="F5" s="173" t="s">
        <v>755</v>
      </c>
      <c r="G5" s="174" t="str">
        <f>RIGHT(F5,7)</f>
        <v>332064A</v>
      </c>
      <c r="H5" s="174" t="str">
        <f>IFERROR(VLOOKUP($G5,'[21]Projects FERCs'!$A$8:$B$538,2,FALSE),0)</f>
        <v>Distrib Feeders &amp; Ties Nog</v>
      </c>
      <c r="I5" s="173" t="s">
        <v>24</v>
      </c>
      <c r="J5" s="173" t="s">
        <v>271</v>
      </c>
      <c r="K5" s="173" t="s">
        <v>248</v>
      </c>
      <c r="L5" s="173" t="s">
        <v>73</v>
      </c>
      <c r="M5" s="173" t="s">
        <v>756</v>
      </c>
      <c r="N5" s="182">
        <v>43861</v>
      </c>
      <c r="O5" s="182">
        <v>44774</v>
      </c>
      <c r="P5" s="173" t="s">
        <v>531</v>
      </c>
      <c r="Q5" s="174">
        <v>1.18</v>
      </c>
      <c r="R5" s="174">
        <v>9.8299999999999998E-2</v>
      </c>
      <c r="S5" s="183">
        <v>1119387.58</v>
      </c>
      <c r="T5" s="174">
        <v>29.5</v>
      </c>
      <c r="U5" s="183">
        <v>32471.57</v>
      </c>
    </row>
    <row r="6" spans="1:24" ht="15" customHeight="1">
      <c r="A6" s="173" t="s">
        <v>752</v>
      </c>
      <c r="B6" s="173" t="s">
        <v>753</v>
      </c>
      <c r="C6" s="173" t="s">
        <v>754</v>
      </c>
      <c r="D6" s="173" t="s">
        <v>429</v>
      </c>
      <c r="E6" s="174">
        <v>29991965</v>
      </c>
      <c r="F6" s="173" t="s">
        <v>755</v>
      </c>
      <c r="G6" s="174" t="str">
        <f t="shared" ref="G6:G32" si="0">RIGHT(F6,7)</f>
        <v>332064A</v>
      </c>
      <c r="H6" s="174" t="str">
        <f>IFERROR(VLOOKUP($G6,'[21]Projects FERCs'!$A$8:$B$538,2,FALSE),0)</f>
        <v>Distrib Feeders &amp; Ties Nog</v>
      </c>
      <c r="I6" s="173" t="s">
        <v>23</v>
      </c>
      <c r="J6" s="173" t="s">
        <v>270</v>
      </c>
      <c r="K6" s="173" t="s">
        <v>248</v>
      </c>
      <c r="L6" s="173" t="s">
        <v>73</v>
      </c>
      <c r="M6" s="173" t="s">
        <v>756</v>
      </c>
      <c r="N6" s="182">
        <v>43861</v>
      </c>
      <c r="O6" s="182">
        <v>44774</v>
      </c>
      <c r="P6" s="173" t="s">
        <v>530</v>
      </c>
      <c r="Q6" s="174">
        <v>0.9</v>
      </c>
      <c r="R6" s="174">
        <v>7.4999999999999997E-2</v>
      </c>
      <c r="S6" s="183">
        <v>1009818.09</v>
      </c>
      <c r="T6" s="174">
        <v>29.5</v>
      </c>
      <c r="U6" s="183">
        <v>22342.23</v>
      </c>
      <c r="X6" s="183"/>
    </row>
    <row r="7" spans="1:24" ht="15" customHeight="1">
      <c r="A7" s="173" t="s">
        <v>752</v>
      </c>
      <c r="B7" s="173" t="s">
        <v>753</v>
      </c>
      <c r="C7" s="173" t="s">
        <v>754</v>
      </c>
      <c r="D7" s="173" t="s">
        <v>429</v>
      </c>
      <c r="E7" s="174">
        <v>29989687</v>
      </c>
      <c r="F7" s="173" t="s">
        <v>757</v>
      </c>
      <c r="G7" s="174" t="str">
        <f t="shared" si="0"/>
        <v>312000A</v>
      </c>
      <c r="H7" s="174" t="str">
        <f>IFERROR(VLOOKUP($G7,'[21]Projects FERCs'!$A$8:$B$538,2,FALSE),0)</f>
        <v>UNSE Transportation Equip</v>
      </c>
      <c r="I7" s="173" t="s">
        <v>32</v>
      </c>
      <c r="J7" s="173" t="s">
        <v>87</v>
      </c>
      <c r="K7" s="173" t="s">
        <v>82</v>
      </c>
      <c r="L7" s="173" t="s">
        <v>73</v>
      </c>
      <c r="M7" s="173" t="s">
        <v>756</v>
      </c>
      <c r="N7" s="182">
        <v>44628</v>
      </c>
      <c r="O7" s="182">
        <v>44774</v>
      </c>
      <c r="P7" s="173" t="s">
        <v>600</v>
      </c>
      <c r="Q7" s="174">
        <v>7.92</v>
      </c>
      <c r="R7" s="174">
        <v>0.66</v>
      </c>
      <c r="S7" s="183">
        <v>345433.53</v>
      </c>
      <c r="T7" s="174">
        <v>3.5</v>
      </c>
      <c r="U7" s="183">
        <v>7979.51</v>
      </c>
      <c r="X7" s="183"/>
    </row>
    <row r="8" spans="1:24" ht="15" customHeight="1">
      <c r="A8" s="184" t="s">
        <v>752</v>
      </c>
      <c r="B8" s="184" t="s">
        <v>753</v>
      </c>
      <c r="C8" s="184" t="s">
        <v>754</v>
      </c>
      <c r="D8" s="184" t="s">
        <v>429</v>
      </c>
      <c r="E8" s="185">
        <v>29991658</v>
      </c>
      <c r="F8" s="184" t="s">
        <v>758</v>
      </c>
      <c r="G8" s="185" t="str">
        <f t="shared" si="0"/>
        <v>328162S</v>
      </c>
      <c r="H8" s="185" t="str">
        <f>IFERROR(VLOOKUP($G8,'[21]Projects FERCs'!$A$8:$B$538,2,FALSE),0)</f>
        <v>Subs Oil Spill Prevention</v>
      </c>
      <c r="I8" s="184" t="s">
        <v>20</v>
      </c>
      <c r="J8" s="184" t="s">
        <v>264</v>
      </c>
      <c r="K8" s="184" t="s">
        <v>732</v>
      </c>
      <c r="L8" s="184" t="s">
        <v>759</v>
      </c>
      <c r="M8" s="184" t="s">
        <v>760</v>
      </c>
      <c r="N8" s="186">
        <v>44550</v>
      </c>
      <c r="O8" s="186">
        <v>44774</v>
      </c>
      <c r="P8" s="184" t="s">
        <v>501</v>
      </c>
      <c r="Q8" s="185">
        <v>1.73</v>
      </c>
      <c r="R8" s="185">
        <v>0.14419999999999999</v>
      </c>
      <c r="S8" s="187">
        <v>106730.8</v>
      </c>
      <c r="T8" s="185">
        <v>6.5</v>
      </c>
      <c r="U8" s="187">
        <v>1000.16</v>
      </c>
      <c r="X8" s="183"/>
    </row>
    <row r="9" spans="1:24" ht="15" customHeight="1">
      <c r="A9" s="173" t="s">
        <v>752</v>
      </c>
      <c r="B9" s="173" t="s">
        <v>753</v>
      </c>
      <c r="C9" s="173" t="s">
        <v>754</v>
      </c>
      <c r="D9" s="173" t="s">
        <v>429</v>
      </c>
      <c r="E9" s="174">
        <v>29992137</v>
      </c>
      <c r="F9" s="173" t="s">
        <v>761</v>
      </c>
      <c r="G9" s="174" t="str">
        <f t="shared" si="0"/>
        <v>300160A</v>
      </c>
      <c r="H9" s="174" t="str">
        <f>IFERROR(VLOOKUP($G9,'[21]Projects FERCs'!$A$8:$B$538,2,FALSE),0)</f>
        <v>UNSE Gila River Power Station</v>
      </c>
      <c r="I9" s="173" t="s">
        <v>18</v>
      </c>
      <c r="J9" s="173" t="s">
        <v>262</v>
      </c>
      <c r="K9" s="173" t="s">
        <v>248</v>
      </c>
      <c r="L9" s="173" t="s">
        <v>71</v>
      </c>
      <c r="M9" s="173" t="s">
        <v>762</v>
      </c>
      <c r="N9" s="182">
        <v>44681</v>
      </c>
      <c r="O9" s="182">
        <v>44774</v>
      </c>
      <c r="P9" s="173" t="s">
        <v>469</v>
      </c>
      <c r="Q9" s="174">
        <v>2.63</v>
      </c>
      <c r="R9" s="174">
        <v>0.21920000000000001</v>
      </c>
      <c r="S9" s="183">
        <v>50301.61</v>
      </c>
      <c r="T9" s="174">
        <v>2.5</v>
      </c>
      <c r="U9" s="183">
        <v>275.61</v>
      </c>
      <c r="X9" s="183"/>
    </row>
    <row r="10" spans="1:24" ht="15" customHeight="1">
      <c r="A10" s="173" t="s">
        <v>752</v>
      </c>
      <c r="B10" s="173" t="s">
        <v>753</v>
      </c>
      <c r="C10" s="173" t="s">
        <v>754</v>
      </c>
      <c r="D10" s="173" t="s">
        <v>429</v>
      </c>
      <c r="E10" s="174">
        <v>29992128</v>
      </c>
      <c r="F10" s="173" t="s">
        <v>763</v>
      </c>
      <c r="G10" s="174" t="str">
        <f t="shared" si="0"/>
        <v>300160A</v>
      </c>
      <c r="H10" s="174" t="str">
        <f>IFERROR(VLOOKUP($G10,'[21]Projects FERCs'!$A$8:$B$538,2,FALSE),0)</f>
        <v>UNSE Gila River Power Station</v>
      </c>
      <c r="I10" s="173" t="s">
        <v>18</v>
      </c>
      <c r="J10" s="173" t="s">
        <v>262</v>
      </c>
      <c r="K10" s="173" t="s">
        <v>248</v>
      </c>
      <c r="L10" s="173" t="s">
        <v>72</v>
      </c>
      <c r="M10" s="173" t="s">
        <v>764</v>
      </c>
      <c r="N10" s="182">
        <v>44583</v>
      </c>
      <c r="O10" s="182">
        <v>44774</v>
      </c>
      <c r="P10" s="173" t="s">
        <v>470</v>
      </c>
      <c r="Q10" s="174">
        <v>2.8</v>
      </c>
      <c r="R10" s="174">
        <v>0.23330000000000001</v>
      </c>
      <c r="S10" s="183">
        <v>45683.05</v>
      </c>
      <c r="T10" s="174">
        <v>5.5</v>
      </c>
      <c r="U10" s="183">
        <v>586.27</v>
      </c>
      <c r="X10" s="183"/>
    </row>
    <row r="11" spans="1:24" ht="15" customHeight="1">
      <c r="A11" s="173" t="s">
        <v>752</v>
      </c>
      <c r="B11" s="173" t="s">
        <v>753</v>
      </c>
      <c r="C11" s="173" t="s">
        <v>754</v>
      </c>
      <c r="D11" s="173" t="s">
        <v>429</v>
      </c>
      <c r="E11" s="174">
        <v>29992134</v>
      </c>
      <c r="F11" s="173" t="s">
        <v>765</v>
      </c>
      <c r="G11" s="174" t="str">
        <f t="shared" si="0"/>
        <v>300160A</v>
      </c>
      <c r="H11" s="174" t="str">
        <f>IFERROR(VLOOKUP($G11,'[21]Projects FERCs'!$A$8:$B$538,2,FALSE),0)</f>
        <v>UNSE Gila River Power Station</v>
      </c>
      <c r="I11" s="173" t="s">
        <v>19</v>
      </c>
      <c r="J11" s="173" t="s">
        <v>263</v>
      </c>
      <c r="K11" s="173" t="s">
        <v>248</v>
      </c>
      <c r="L11" s="173" t="s">
        <v>71</v>
      </c>
      <c r="M11" s="173" t="s">
        <v>762</v>
      </c>
      <c r="N11" s="182">
        <v>44681</v>
      </c>
      <c r="O11" s="182">
        <v>44774</v>
      </c>
      <c r="P11" s="173" t="s">
        <v>483</v>
      </c>
      <c r="Q11" s="174">
        <v>2.59</v>
      </c>
      <c r="R11" s="174">
        <v>0.21579999999999999</v>
      </c>
      <c r="S11" s="183">
        <v>31573.47</v>
      </c>
      <c r="T11" s="174">
        <v>2.5</v>
      </c>
      <c r="U11" s="183">
        <v>170.37</v>
      </c>
      <c r="X11" s="183"/>
    </row>
    <row r="12" spans="1:24" ht="15" customHeight="1">
      <c r="A12" s="173" t="s">
        <v>752</v>
      </c>
      <c r="B12" s="173" t="s">
        <v>753</v>
      </c>
      <c r="C12" s="173" t="s">
        <v>754</v>
      </c>
      <c r="D12" s="173" t="s">
        <v>429</v>
      </c>
      <c r="E12" s="174">
        <v>29991962</v>
      </c>
      <c r="F12" s="173" t="s">
        <v>755</v>
      </c>
      <c r="G12" s="174" t="str">
        <f t="shared" si="0"/>
        <v>332064A</v>
      </c>
      <c r="H12" s="174" t="str">
        <f>IFERROR(VLOOKUP($G12,'[21]Projects FERCs'!$A$8:$B$538,2,FALSE),0)</f>
        <v>Distrib Feeders &amp; Ties Nog</v>
      </c>
      <c r="I12" s="173" t="s">
        <v>27</v>
      </c>
      <c r="J12" s="173" t="s">
        <v>274</v>
      </c>
      <c r="K12" s="173" t="s">
        <v>136</v>
      </c>
      <c r="L12" s="173" t="s">
        <v>73</v>
      </c>
      <c r="M12" s="173" t="s">
        <v>756</v>
      </c>
      <c r="N12" s="182">
        <v>43861</v>
      </c>
      <c r="O12" s="182">
        <v>44774</v>
      </c>
      <c r="P12" s="173" t="s">
        <v>534</v>
      </c>
      <c r="Q12" s="174">
        <v>1.76</v>
      </c>
      <c r="R12" s="174">
        <v>0.1467</v>
      </c>
      <c r="S12" s="183">
        <v>24312.25</v>
      </c>
      <c r="T12" s="174">
        <v>29.5</v>
      </c>
      <c r="U12" s="183">
        <v>1051.9100000000001</v>
      </c>
      <c r="X12" s="183"/>
    </row>
    <row r="13" spans="1:24" ht="15" customHeight="1">
      <c r="A13" s="173" t="s">
        <v>752</v>
      </c>
      <c r="B13" s="173" t="s">
        <v>753</v>
      </c>
      <c r="C13" s="173" t="s">
        <v>754</v>
      </c>
      <c r="D13" s="173" t="s">
        <v>429</v>
      </c>
      <c r="E13" s="174">
        <v>29991956</v>
      </c>
      <c r="F13" s="173" t="s">
        <v>755</v>
      </c>
      <c r="G13" s="174" t="str">
        <f t="shared" si="0"/>
        <v>332064A</v>
      </c>
      <c r="H13" s="174" t="str">
        <f>IFERROR(VLOOKUP($G13,'[21]Projects FERCs'!$A$8:$B$538,2,FALSE),0)</f>
        <v>Distrib Feeders &amp; Ties Nog</v>
      </c>
      <c r="I13" s="173" t="s">
        <v>26</v>
      </c>
      <c r="J13" s="173" t="s">
        <v>273</v>
      </c>
      <c r="K13" s="173" t="s">
        <v>248</v>
      </c>
      <c r="L13" s="173" t="s">
        <v>73</v>
      </c>
      <c r="M13" s="173" t="s">
        <v>756</v>
      </c>
      <c r="N13" s="182">
        <v>43861</v>
      </c>
      <c r="O13" s="182">
        <v>44774</v>
      </c>
      <c r="P13" s="173" t="s">
        <v>533</v>
      </c>
      <c r="Q13" s="174">
        <v>1.42</v>
      </c>
      <c r="R13" s="174">
        <v>0.1183</v>
      </c>
      <c r="S13" s="183">
        <v>9571.84</v>
      </c>
      <c r="T13" s="174">
        <v>29.5</v>
      </c>
      <c r="U13" s="183">
        <v>334.14</v>
      </c>
      <c r="X13" s="183"/>
    </row>
    <row r="14" spans="1:24" ht="15" customHeight="1">
      <c r="A14" s="173" t="s">
        <v>752</v>
      </c>
      <c r="B14" s="173" t="s">
        <v>753</v>
      </c>
      <c r="C14" s="173" t="s">
        <v>754</v>
      </c>
      <c r="D14" s="173" t="s">
        <v>429</v>
      </c>
      <c r="E14" s="174">
        <v>29991950</v>
      </c>
      <c r="F14" s="173" t="s">
        <v>755</v>
      </c>
      <c r="G14" s="174" t="str">
        <f t="shared" si="0"/>
        <v>332064A</v>
      </c>
      <c r="H14" s="174" t="str">
        <f>IFERROR(VLOOKUP($G14,'[21]Projects FERCs'!$A$8:$B$538,2,FALSE),0)</f>
        <v>Distrib Feeders &amp; Ties Nog</v>
      </c>
      <c r="I14" s="173" t="s">
        <v>22</v>
      </c>
      <c r="J14" s="173" t="s">
        <v>269</v>
      </c>
      <c r="K14" s="173" t="s">
        <v>248</v>
      </c>
      <c r="L14" s="173" t="s">
        <v>73</v>
      </c>
      <c r="M14" s="173" t="s">
        <v>756</v>
      </c>
      <c r="N14" s="182">
        <v>43861</v>
      </c>
      <c r="O14" s="182">
        <v>44774</v>
      </c>
      <c r="P14" s="173" t="s">
        <v>528</v>
      </c>
      <c r="Q14" s="174">
        <v>1.57</v>
      </c>
      <c r="R14" s="174">
        <v>0.1308</v>
      </c>
      <c r="S14" s="183">
        <v>9567.93</v>
      </c>
      <c r="T14" s="174">
        <v>29.5</v>
      </c>
      <c r="U14" s="183">
        <v>369.28</v>
      </c>
      <c r="X14" s="183"/>
    </row>
    <row r="15" spans="1:24" ht="15" customHeight="1">
      <c r="A15" s="173" t="s">
        <v>752</v>
      </c>
      <c r="B15" s="173" t="s">
        <v>753</v>
      </c>
      <c r="C15" s="173" t="s">
        <v>754</v>
      </c>
      <c r="D15" s="173" t="s">
        <v>429</v>
      </c>
      <c r="E15" s="174">
        <v>29602252</v>
      </c>
      <c r="F15" s="173" t="s">
        <v>766</v>
      </c>
      <c r="G15" s="174" t="str">
        <f t="shared" si="0"/>
        <v>314361S</v>
      </c>
      <c r="H15" s="174" t="str">
        <f>IFERROR(VLOOKUP($G15,'[21]Projects FERCs'!$A$8:$B$538,2,FALSE),0)</f>
        <v>Distr Sys Intgity &amp; Restor</v>
      </c>
      <c r="I15" s="173" t="s">
        <v>26</v>
      </c>
      <c r="J15" s="173" t="s">
        <v>273</v>
      </c>
      <c r="K15" s="173" t="s">
        <v>248</v>
      </c>
      <c r="L15" s="173" t="s">
        <v>73</v>
      </c>
      <c r="M15" s="173" t="s">
        <v>756</v>
      </c>
      <c r="N15" s="182">
        <v>44740</v>
      </c>
      <c r="O15" s="182">
        <v>44743</v>
      </c>
      <c r="P15" s="173" t="s">
        <v>533</v>
      </c>
      <c r="Q15" s="174">
        <v>1.42</v>
      </c>
      <c r="R15" s="174">
        <v>0.1183</v>
      </c>
      <c r="S15" s="183">
        <v>8388.49</v>
      </c>
      <c r="T15" s="174">
        <v>0.5</v>
      </c>
      <c r="U15" s="183">
        <v>4.96</v>
      </c>
      <c r="X15" s="183"/>
    </row>
    <row r="16" spans="1:24" ht="15" customHeight="1">
      <c r="A16" s="173" t="s">
        <v>752</v>
      </c>
      <c r="B16" s="173" t="s">
        <v>753</v>
      </c>
      <c r="C16" s="173" t="s">
        <v>754</v>
      </c>
      <c r="D16" s="173" t="s">
        <v>429</v>
      </c>
      <c r="E16" s="174">
        <v>29989692</v>
      </c>
      <c r="F16" s="173" t="s">
        <v>767</v>
      </c>
      <c r="G16" s="174" t="str">
        <f t="shared" si="0"/>
        <v>312261A</v>
      </c>
      <c r="H16" s="174" t="str">
        <f>IFERROR(VLOOKUP($G16,'[21]Projects FERCs'!$A$8:$B$538,2,FALSE),0)</f>
        <v>Plant General - Short Term KG</v>
      </c>
      <c r="I16" s="173" t="s">
        <v>37</v>
      </c>
      <c r="J16" s="173" t="s">
        <v>89</v>
      </c>
      <c r="K16" s="173" t="s">
        <v>248</v>
      </c>
      <c r="L16" s="173" t="s">
        <v>73</v>
      </c>
      <c r="M16" s="173" t="s">
        <v>756</v>
      </c>
      <c r="N16" s="182">
        <v>44700</v>
      </c>
      <c r="O16" s="182">
        <v>44774</v>
      </c>
      <c r="P16" s="173" t="s">
        <v>632</v>
      </c>
      <c r="Q16" s="174">
        <v>6.67</v>
      </c>
      <c r="R16" s="174">
        <v>0.55579999999999996</v>
      </c>
      <c r="S16" s="183">
        <v>4602.3999999999996</v>
      </c>
      <c r="T16" s="174">
        <v>1.5</v>
      </c>
      <c r="U16" s="183">
        <v>38.369999999999997</v>
      </c>
      <c r="X16" s="183"/>
    </row>
    <row r="17" spans="1:24" ht="15" customHeight="1">
      <c r="A17" s="173" t="s">
        <v>752</v>
      </c>
      <c r="B17" s="173" t="s">
        <v>753</v>
      </c>
      <c r="C17" s="173" t="s">
        <v>754</v>
      </c>
      <c r="D17" s="173" t="s">
        <v>429</v>
      </c>
      <c r="E17" s="174">
        <v>29602240</v>
      </c>
      <c r="F17" s="173" t="s">
        <v>768</v>
      </c>
      <c r="G17" s="174" t="str">
        <f t="shared" si="0"/>
        <v>314361S</v>
      </c>
      <c r="H17" s="174" t="str">
        <f>IFERROR(VLOOKUP($G17,'[21]Projects FERCs'!$A$8:$B$538,2,FALSE),0)</f>
        <v>Distr Sys Intgity &amp; Restor</v>
      </c>
      <c r="I17" s="173" t="s">
        <v>23</v>
      </c>
      <c r="J17" s="173" t="s">
        <v>270</v>
      </c>
      <c r="K17" s="173" t="s">
        <v>248</v>
      </c>
      <c r="L17" s="173" t="s">
        <v>73</v>
      </c>
      <c r="M17" s="173" t="s">
        <v>756</v>
      </c>
      <c r="N17" s="182">
        <v>44739</v>
      </c>
      <c r="O17" s="182">
        <v>44743</v>
      </c>
      <c r="P17" s="173" t="s">
        <v>530</v>
      </c>
      <c r="Q17" s="174">
        <v>0.9</v>
      </c>
      <c r="R17" s="174">
        <v>7.4999999999999997E-2</v>
      </c>
      <c r="S17" s="183">
        <v>4366.1499999999996</v>
      </c>
      <c r="T17" s="174">
        <v>0.5</v>
      </c>
      <c r="U17" s="183">
        <v>1.64</v>
      </c>
      <c r="X17" s="183"/>
    </row>
    <row r="18" spans="1:24" ht="15" customHeight="1">
      <c r="A18" s="173" t="s">
        <v>752</v>
      </c>
      <c r="B18" s="173" t="s">
        <v>753</v>
      </c>
      <c r="C18" s="173" t="s">
        <v>754</v>
      </c>
      <c r="D18" s="173" t="s">
        <v>429</v>
      </c>
      <c r="E18" s="174">
        <v>29602177</v>
      </c>
      <c r="F18" s="173" t="s">
        <v>769</v>
      </c>
      <c r="G18" s="174" t="str">
        <f t="shared" si="0"/>
        <v>314362S</v>
      </c>
      <c r="H18" s="174" t="str">
        <f>IFERROR(VLOOKUP($G18,'[21]Projects FERCs'!$A$8:$B$538,2,FALSE),0)</f>
        <v>Distr Sys Int &amp; Restor</v>
      </c>
      <c r="I18" s="173" t="s">
        <v>27</v>
      </c>
      <c r="J18" s="173" t="s">
        <v>274</v>
      </c>
      <c r="K18" s="173" t="s">
        <v>266</v>
      </c>
      <c r="L18" s="173" t="s">
        <v>73</v>
      </c>
      <c r="M18" s="173" t="s">
        <v>756</v>
      </c>
      <c r="N18" s="182">
        <v>44741</v>
      </c>
      <c r="O18" s="182">
        <v>44743</v>
      </c>
      <c r="P18" s="173" t="s">
        <v>535</v>
      </c>
      <c r="Q18" s="174">
        <v>2.1800000000000002</v>
      </c>
      <c r="R18" s="174">
        <v>0.1817</v>
      </c>
      <c r="S18" s="183">
        <v>4114.6400000000003</v>
      </c>
      <c r="T18" s="174">
        <v>0.5</v>
      </c>
      <c r="U18" s="183">
        <v>3.74</v>
      </c>
      <c r="X18" s="183"/>
    </row>
    <row r="19" spans="1:24" ht="15" customHeight="1">
      <c r="A19" s="173" t="s">
        <v>752</v>
      </c>
      <c r="B19" s="173" t="s">
        <v>753</v>
      </c>
      <c r="C19" s="173" t="s">
        <v>754</v>
      </c>
      <c r="D19" s="173" t="s">
        <v>429</v>
      </c>
      <c r="E19" s="174">
        <v>29991959</v>
      </c>
      <c r="F19" s="173" t="s">
        <v>755</v>
      </c>
      <c r="G19" s="174" t="str">
        <f t="shared" si="0"/>
        <v>332064A</v>
      </c>
      <c r="H19" s="174" t="str">
        <f>IFERROR(VLOOKUP($G19,'[21]Projects FERCs'!$A$8:$B$538,2,FALSE),0)</f>
        <v>Distrib Feeders &amp; Ties Nog</v>
      </c>
      <c r="I19" s="173" t="s">
        <v>25</v>
      </c>
      <c r="J19" s="173" t="s">
        <v>272</v>
      </c>
      <c r="K19" s="173" t="s">
        <v>248</v>
      </c>
      <c r="L19" s="173" t="s">
        <v>73</v>
      </c>
      <c r="M19" s="173" t="s">
        <v>756</v>
      </c>
      <c r="N19" s="182">
        <v>43861</v>
      </c>
      <c r="O19" s="182">
        <v>44774</v>
      </c>
      <c r="P19" s="173" t="s">
        <v>532</v>
      </c>
      <c r="Q19" s="174">
        <v>1.19</v>
      </c>
      <c r="R19" s="174">
        <v>9.9199999999999997E-2</v>
      </c>
      <c r="S19" s="183">
        <v>2614.21</v>
      </c>
      <c r="T19" s="174">
        <v>29.5</v>
      </c>
      <c r="U19" s="183">
        <v>76.48</v>
      </c>
      <c r="X19" s="183"/>
    </row>
    <row r="20" spans="1:24" ht="15" customHeight="1">
      <c r="A20" s="173" t="s">
        <v>752</v>
      </c>
      <c r="B20" s="173" t="s">
        <v>753</v>
      </c>
      <c r="C20" s="173" t="s">
        <v>754</v>
      </c>
      <c r="D20" s="173" t="s">
        <v>429</v>
      </c>
      <c r="E20" s="174">
        <v>29992131</v>
      </c>
      <c r="F20" s="173" t="s">
        <v>770</v>
      </c>
      <c r="G20" s="174" t="str">
        <f t="shared" si="0"/>
        <v>300160A</v>
      </c>
      <c r="H20" s="174" t="str">
        <f>IFERROR(VLOOKUP($G20,'[21]Projects FERCs'!$A$8:$B$538,2,FALSE),0)</f>
        <v>UNSE Gila River Power Station</v>
      </c>
      <c r="I20" s="173" t="s">
        <v>17</v>
      </c>
      <c r="J20" s="173" t="s">
        <v>261</v>
      </c>
      <c r="K20" s="173" t="s">
        <v>248</v>
      </c>
      <c r="L20" s="173" t="s">
        <v>72</v>
      </c>
      <c r="M20" s="173" t="s">
        <v>764</v>
      </c>
      <c r="N20" s="182">
        <v>44696</v>
      </c>
      <c r="O20" s="182">
        <v>44774</v>
      </c>
      <c r="P20" s="173" t="s">
        <v>458</v>
      </c>
      <c r="Q20" s="174">
        <v>2.6</v>
      </c>
      <c r="R20" s="174">
        <v>0.2167</v>
      </c>
      <c r="S20" s="183">
        <v>2433.34</v>
      </c>
      <c r="T20" s="174">
        <v>1.5</v>
      </c>
      <c r="U20" s="183">
        <v>7.91</v>
      </c>
      <c r="X20" s="183"/>
    </row>
    <row r="21" spans="1:24" ht="15" customHeight="1">
      <c r="A21" s="173" t="s">
        <v>752</v>
      </c>
      <c r="B21" s="173" t="s">
        <v>753</v>
      </c>
      <c r="C21" s="173" t="s">
        <v>754</v>
      </c>
      <c r="D21" s="173" t="s">
        <v>429</v>
      </c>
      <c r="E21" s="174">
        <v>29602249</v>
      </c>
      <c r="F21" s="173" t="s">
        <v>771</v>
      </c>
      <c r="G21" s="174" t="str">
        <f t="shared" si="0"/>
        <v>314361S</v>
      </c>
      <c r="H21" s="174" t="str">
        <f>IFERROR(VLOOKUP($G21,'[21]Projects FERCs'!$A$8:$B$538,2,FALSE),0)</f>
        <v>Distr Sys Intgity &amp; Restor</v>
      </c>
      <c r="I21" s="173" t="s">
        <v>23</v>
      </c>
      <c r="J21" s="173" t="s">
        <v>270</v>
      </c>
      <c r="K21" s="173" t="s">
        <v>248</v>
      </c>
      <c r="L21" s="173" t="s">
        <v>73</v>
      </c>
      <c r="M21" s="173" t="s">
        <v>756</v>
      </c>
      <c r="N21" s="182">
        <v>44739</v>
      </c>
      <c r="O21" s="182">
        <v>44743</v>
      </c>
      <c r="P21" s="173" t="s">
        <v>530</v>
      </c>
      <c r="Q21" s="174">
        <v>0.9</v>
      </c>
      <c r="R21" s="174">
        <v>7.4999999999999997E-2</v>
      </c>
      <c r="S21" s="183">
        <v>2212.2800000000002</v>
      </c>
      <c r="T21" s="174">
        <v>0.5</v>
      </c>
      <c r="U21" s="183">
        <v>0.83</v>
      </c>
      <c r="X21" s="183"/>
    </row>
    <row r="22" spans="1:24" ht="15" customHeight="1">
      <c r="A22" s="184" t="s">
        <v>752</v>
      </c>
      <c r="B22" s="184" t="s">
        <v>753</v>
      </c>
      <c r="C22" s="184" t="s">
        <v>754</v>
      </c>
      <c r="D22" s="184" t="s">
        <v>429</v>
      </c>
      <c r="E22" s="185">
        <v>29991661</v>
      </c>
      <c r="F22" s="184" t="s">
        <v>758</v>
      </c>
      <c r="G22" s="185" t="str">
        <f t="shared" si="0"/>
        <v>328162S</v>
      </c>
      <c r="H22" s="185" t="str">
        <f>IFERROR(VLOOKUP($G22,'[21]Projects FERCs'!$A$8:$B$538,2,FALSE),0)</f>
        <v>Subs Oil Spill Prevention</v>
      </c>
      <c r="I22" s="184" t="s">
        <v>21</v>
      </c>
      <c r="J22" s="184" t="s">
        <v>265</v>
      </c>
      <c r="K22" s="184" t="s">
        <v>732</v>
      </c>
      <c r="L22" s="184" t="s">
        <v>759</v>
      </c>
      <c r="M22" s="184" t="s">
        <v>760</v>
      </c>
      <c r="N22" s="186">
        <v>44550</v>
      </c>
      <c r="O22" s="186">
        <v>44774</v>
      </c>
      <c r="P22" s="184" t="s">
        <v>506</v>
      </c>
      <c r="Q22" s="185">
        <v>1.4</v>
      </c>
      <c r="R22" s="185">
        <v>0.1167</v>
      </c>
      <c r="S22" s="187">
        <v>2178.1799999999998</v>
      </c>
      <c r="T22" s="185">
        <v>6.5</v>
      </c>
      <c r="U22" s="187">
        <v>16.52</v>
      </c>
      <c r="X22" s="183"/>
    </row>
    <row r="23" spans="1:24" ht="15" customHeight="1">
      <c r="A23" s="173" t="s">
        <v>752</v>
      </c>
      <c r="B23" s="173" t="s">
        <v>753</v>
      </c>
      <c r="C23" s="173" t="s">
        <v>754</v>
      </c>
      <c r="D23" s="173" t="s">
        <v>429</v>
      </c>
      <c r="E23" s="174">
        <v>29989702</v>
      </c>
      <c r="F23" s="173" t="s">
        <v>772</v>
      </c>
      <c r="G23" s="174" t="str">
        <f t="shared" si="0"/>
        <v>312100A</v>
      </c>
      <c r="H23" s="174" t="str">
        <f>IFERROR(VLOOKUP($G23,'[21]Projects FERCs'!$A$8:$B$538,2,FALSE),0)</f>
        <v>UNSE Power Op Equip</v>
      </c>
      <c r="I23" s="173" t="s">
        <v>35</v>
      </c>
      <c r="J23" s="173" t="s">
        <v>88</v>
      </c>
      <c r="K23" s="173" t="s">
        <v>248</v>
      </c>
      <c r="L23" s="173" t="s">
        <v>773</v>
      </c>
      <c r="M23" s="173" t="s">
        <v>774</v>
      </c>
      <c r="N23" s="182">
        <v>44708</v>
      </c>
      <c r="O23" s="182">
        <v>44774</v>
      </c>
      <c r="P23" s="173" t="s">
        <v>628</v>
      </c>
      <c r="Q23" s="174">
        <v>5.28</v>
      </c>
      <c r="R23" s="174">
        <v>0.44</v>
      </c>
      <c r="S23" s="183">
        <v>1981.06</v>
      </c>
      <c r="T23" s="174">
        <v>1.5</v>
      </c>
      <c r="U23" s="183">
        <v>13.07</v>
      </c>
      <c r="X23" s="183"/>
    </row>
    <row r="24" spans="1:24" ht="15" customHeight="1">
      <c r="A24" s="173" t="s">
        <v>752</v>
      </c>
      <c r="B24" s="173" t="s">
        <v>753</v>
      </c>
      <c r="C24" s="173" t="s">
        <v>754</v>
      </c>
      <c r="D24" s="173" t="s">
        <v>429</v>
      </c>
      <c r="E24" s="174">
        <v>29602142</v>
      </c>
      <c r="F24" s="173" t="s">
        <v>775</v>
      </c>
      <c r="G24" s="174" t="str">
        <f t="shared" si="0"/>
        <v>312100A</v>
      </c>
      <c r="H24" s="174" t="str">
        <f>IFERROR(VLOOKUP($G24,'[21]Projects FERCs'!$A$8:$B$538,2,FALSE),0)</f>
        <v>UNSE Power Op Equip</v>
      </c>
      <c r="I24" s="173" t="s">
        <v>35</v>
      </c>
      <c r="J24" s="173" t="s">
        <v>88</v>
      </c>
      <c r="K24" s="173" t="s">
        <v>248</v>
      </c>
      <c r="L24" s="173" t="s">
        <v>773</v>
      </c>
      <c r="M24" s="173" t="s">
        <v>774</v>
      </c>
      <c r="N24" s="182">
        <v>44699</v>
      </c>
      <c r="O24" s="182">
        <v>44743</v>
      </c>
      <c r="P24" s="173" t="s">
        <v>628</v>
      </c>
      <c r="Q24" s="174">
        <v>5.28</v>
      </c>
      <c r="R24" s="174">
        <v>0.44</v>
      </c>
      <c r="S24" s="183">
        <v>1949.07</v>
      </c>
      <c r="T24" s="174">
        <v>1.5</v>
      </c>
      <c r="U24" s="183">
        <v>12.86</v>
      </c>
      <c r="X24" s="183"/>
    </row>
    <row r="25" spans="1:24" ht="15" customHeight="1">
      <c r="A25" s="173" t="s">
        <v>752</v>
      </c>
      <c r="B25" s="173" t="s">
        <v>753</v>
      </c>
      <c r="C25" s="173" t="s">
        <v>754</v>
      </c>
      <c r="D25" s="173" t="s">
        <v>429</v>
      </c>
      <c r="E25" s="174">
        <v>29602246</v>
      </c>
      <c r="F25" s="173" t="s">
        <v>776</v>
      </c>
      <c r="G25" s="174" t="str">
        <f t="shared" si="0"/>
        <v>314361S</v>
      </c>
      <c r="H25" s="174" t="str">
        <f>IFERROR(VLOOKUP($G25,'[21]Projects FERCs'!$A$8:$B$538,2,FALSE),0)</f>
        <v>Distr Sys Intgity &amp; Restor</v>
      </c>
      <c r="I25" s="173" t="s">
        <v>23</v>
      </c>
      <c r="J25" s="173" t="s">
        <v>270</v>
      </c>
      <c r="K25" s="173" t="s">
        <v>248</v>
      </c>
      <c r="L25" s="173" t="s">
        <v>73</v>
      </c>
      <c r="M25" s="173" t="s">
        <v>756</v>
      </c>
      <c r="N25" s="182">
        <v>44740</v>
      </c>
      <c r="O25" s="182">
        <v>44743</v>
      </c>
      <c r="P25" s="173" t="s">
        <v>530</v>
      </c>
      <c r="Q25" s="174">
        <v>0.9</v>
      </c>
      <c r="R25" s="174">
        <v>7.4999999999999997E-2</v>
      </c>
      <c r="S25" s="183">
        <v>1895.73</v>
      </c>
      <c r="T25" s="174">
        <v>0.5</v>
      </c>
      <c r="U25" s="183">
        <v>0.71</v>
      </c>
      <c r="X25" s="183"/>
    </row>
    <row r="26" spans="1:24" ht="15" customHeight="1">
      <c r="A26" s="173" t="s">
        <v>752</v>
      </c>
      <c r="B26" s="173" t="s">
        <v>753</v>
      </c>
      <c r="C26" s="173" t="s">
        <v>754</v>
      </c>
      <c r="D26" s="173" t="s">
        <v>429</v>
      </c>
      <c r="E26" s="174">
        <v>29991953</v>
      </c>
      <c r="F26" s="173" t="s">
        <v>755</v>
      </c>
      <c r="G26" s="174" t="str">
        <f t="shared" si="0"/>
        <v>332064A</v>
      </c>
      <c r="H26" s="174" t="str">
        <f>IFERROR(VLOOKUP($G26,'[21]Projects FERCs'!$A$8:$B$538,2,FALSE),0)</f>
        <v>Distrib Feeders &amp; Ties Nog</v>
      </c>
      <c r="I26" s="173" t="s">
        <v>29</v>
      </c>
      <c r="J26" s="173" t="s">
        <v>276</v>
      </c>
      <c r="K26" s="173" t="s">
        <v>248</v>
      </c>
      <c r="L26" s="173" t="s">
        <v>73</v>
      </c>
      <c r="M26" s="173" t="s">
        <v>756</v>
      </c>
      <c r="N26" s="182">
        <v>43861</v>
      </c>
      <c r="O26" s="182">
        <v>44774</v>
      </c>
      <c r="P26" s="173" t="s">
        <v>539</v>
      </c>
      <c r="Q26" s="174">
        <v>1.42</v>
      </c>
      <c r="R26" s="174">
        <v>0.1183</v>
      </c>
      <c r="S26" s="183">
        <v>1345.78</v>
      </c>
      <c r="T26" s="174">
        <v>29.5</v>
      </c>
      <c r="U26" s="183">
        <v>46.98</v>
      </c>
      <c r="X26" s="183"/>
    </row>
    <row r="27" spans="1:24" ht="15" customHeight="1">
      <c r="A27" s="173" t="s">
        <v>752</v>
      </c>
      <c r="B27" s="173" t="s">
        <v>753</v>
      </c>
      <c r="C27" s="173" t="s">
        <v>754</v>
      </c>
      <c r="D27" s="173" t="s">
        <v>429</v>
      </c>
      <c r="E27" s="174">
        <v>29602243</v>
      </c>
      <c r="F27" s="173" t="s">
        <v>776</v>
      </c>
      <c r="G27" s="174" t="str">
        <f t="shared" si="0"/>
        <v>314361S</v>
      </c>
      <c r="H27" s="174" t="str">
        <f>IFERROR(VLOOKUP($G27,'[21]Projects FERCs'!$A$8:$B$538,2,FALSE),0)</f>
        <v>Distr Sys Intgity &amp; Restor</v>
      </c>
      <c r="I27" s="173" t="s">
        <v>24</v>
      </c>
      <c r="J27" s="173" t="s">
        <v>271</v>
      </c>
      <c r="K27" s="173" t="s">
        <v>248</v>
      </c>
      <c r="L27" s="173" t="s">
        <v>73</v>
      </c>
      <c r="M27" s="173" t="s">
        <v>756</v>
      </c>
      <c r="N27" s="182">
        <v>44740</v>
      </c>
      <c r="O27" s="182">
        <v>44743</v>
      </c>
      <c r="P27" s="173" t="s">
        <v>531</v>
      </c>
      <c r="Q27" s="174">
        <v>1.18</v>
      </c>
      <c r="R27" s="174">
        <v>9.8299999999999998E-2</v>
      </c>
      <c r="S27" s="183">
        <v>924.65</v>
      </c>
      <c r="T27" s="174">
        <v>0.5</v>
      </c>
      <c r="U27" s="183">
        <v>0.45</v>
      </c>
      <c r="X27" s="183"/>
    </row>
    <row r="28" spans="1:24" ht="15" customHeight="1">
      <c r="A28" s="173" t="s">
        <v>752</v>
      </c>
      <c r="B28" s="173" t="s">
        <v>753</v>
      </c>
      <c r="C28" s="173" t="s">
        <v>754</v>
      </c>
      <c r="D28" s="173" t="s">
        <v>429</v>
      </c>
      <c r="E28" s="174">
        <v>29602237</v>
      </c>
      <c r="F28" s="173" t="s">
        <v>768</v>
      </c>
      <c r="G28" s="174" t="str">
        <f t="shared" si="0"/>
        <v>314361S</v>
      </c>
      <c r="H28" s="174" t="str">
        <f>IFERROR(VLOOKUP($G28,'[21]Projects FERCs'!$A$8:$B$538,2,FALSE),0)</f>
        <v>Distr Sys Intgity &amp; Restor</v>
      </c>
      <c r="I28" s="173" t="s">
        <v>24</v>
      </c>
      <c r="J28" s="173" t="s">
        <v>271</v>
      </c>
      <c r="K28" s="173" t="s">
        <v>248</v>
      </c>
      <c r="L28" s="173" t="s">
        <v>73</v>
      </c>
      <c r="M28" s="173" t="s">
        <v>756</v>
      </c>
      <c r="N28" s="182">
        <v>44739</v>
      </c>
      <c r="O28" s="182">
        <v>44743</v>
      </c>
      <c r="P28" s="173" t="s">
        <v>531</v>
      </c>
      <c r="Q28" s="174">
        <v>1.18</v>
      </c>
      <c r="R28" s="174">
        <v>9.8299999999999998E-2</v>
      </c>
      <c r="S28" s="183">
        <v>787.71</v>
      </c>
      <c r="T28" s="174">
        <v>0.5</v>
      </c>
      <c r="U28" s="183">
        <v>0.39</v>
      </c>
      <c r="X28" s="183"/>
    </row>
    <row r="29" spans="1:24" ht="15" customHeight="1">
      <c r="A29" s="173" t="s">
        <v>752</v>
      </c>
      <c r="B29" s="173" t="s">
        <v>753</v>
      </c>
      <c r="C29" s="173" t="s">
        <v>754</v>
      </c>
      <c r="D29" s="173" t="s">
        <v>429</v>
      </c>
      <c r="E29" s="174">
        <v>29991743</v>
      </c>
      <c r="F29" s="173" t="s">
        <v>777</v>
      </c>
      <c r="G29" s="174" t="str">
        <f t="shared" si="0"/>
        <v>314361S</v>
      </c>
      <c r="H29" s="174" t="str">
        <f>IFERROR(VLOOKUP($G29,'[21]Projects FERCs'!$A$8:$B$538,2,FALSE),0)</f>
        <v>Distr Sys Intgity &amp; Restor</v>
      </c>
      <c r="I29" s="173" t="s">
        <v>24</v>
      </c>
      <c r="J29" s="173" t="s">
        <v>271</v>
      </c>
      <c r="K29" s="173" t="s">
        <v>248</v>
      </c>
      <c r="L29" s="173" t="s">
        <v>73</v>
      </c>
      <c r="M29" s="173" t="s">
        <v>756</v>
      </c>
      <c r="N29" s="182">
        <v>44741</v>
      </c>
      <c r="O29" s="182">
        <v>44774</v>
      </c>
      <c r="P29" s="173" t="s">
        <v>531</v>
      </c>
      <c r="Q29" s="174">
        <v>1.18</v>
      </c>
      <c r="R29" s="174">
        <v>9.8299999999999998E-2</v>
      </c>
      <c r="S29" s="183">
        <v>501.1</v>
      </c>
      <c r="T29" s="174">
        <v>0.5</v>
      </c>
      <c r="U29" s="183">
        <v>0.25</v>
      </c>
      <c r="X29" s="183"/>
    </row>
    <row r="30" spans="1:24" ht="15" customHeight="1">
      <c r="A30" s="173" t="s">
        <v>752</v>
      </c>
      <c r="B30" s="173" t="s">
        <v>753</v>
      </c>
      <c r="C30" s="173" t="s">
        <v>754</v>
      </c>
      <c r="D30" s="173" t="s">
        <v>429</v>
      </c>
      <c r="E30" s="174">
        <v>29991968</v>
      </c>
      <c r="F30" s="173" t="s">
        <v>755</v>
      </c>
      <c r="G30" s="174" t="str">
        <f t="shared" si="0"/>
        <v>332064A</v>
      </c>
      <c r="H30" s="174" t="str">
        <f>IFERROR(VLOOKUP($G30,'[21]Projects FERCs'!$A$8:$B$538,2,FALSE),0)</f>
        <v>Distrib Feeders &amp; Ties Nog</v>
      </c>
      <c r="I30" s="173" t="s">
        <v>28</v>
      </c>
      <c r="J30" s="173" t="s">
        <v>275</v>
      </c>
      <c r="K30" s="173" t="s">
        <v>136</v>
      </c>
      <c r="L30" s="173" t="s">
        <v>73</v>
      </c>
      <c r="M30" s="173" t="s">
        <v>756</v>
      </c>
      <c r="N30" s="182">
        <v>43861</v>
      </c>
      <c r="O30" s="182">
        <v>44774</v>
      </c>
      <c r="P30" s="173" t="s">
        <v>536</v>
      </c>
      <c r="Q30" s="174">
        <v>1.06</v>
      </c>
      <c r="R30" s="174">
        <v>8.8300000000000003E-2</v>
      </c>
      <c r="S30" s="183">
        <v>325.22000000000003</v>
      </c>
      <c r="T30" s="174">
        <v>29.5</v>
      </c>
      <c r="U30" s="183">
        <v>8.4700000000000006</v>
      </c>
      <c r="X30" s="183"/>
    </row>
    <row r="31" spans="1:24" ht="15" customHeight="1">
      <c r="A31" s="173" t="s">
        <v>752</v>
      </c>
      <c r="B31" s="173" t="s">
        <v>753</v>
      </c>
      <c r="C31" s="173" t="s">
        <v>754</v>
      </c>
      <c r="D31" s="173" t="s">
        <v>429</v>
      </c>
      <c r="E31" s="174">
        <v>29993150</v>
      </c>
      <c r="F31" s="173" t="s">
        <v>778</v>
      </c>
      <c r="G31" s="174" t="str">
        <f t="shared" si="0"/>
        <v>314361S</v>
      </c>
      <c r="H31" s="174" t="str">
        <f>IFERROR(VLOOKUP($G31,'[21]Projects FERCs'!$A$8:$B$538,2,FALSE),0)</f>
        <v>Distr Sys Intgity &amp; Restor</v>
      </c>
      <c r="I31" s="173" t="s">
        <v>26</v>
      </c>
      <c r="J31" s="173" t="s">
        <v>273</v>
      </c>
      <c r="K31" s="173" t="s">
        <v>248</v>
      </c>
      <c r="L31" s="173" t="s">
        <v>73</v>
      </c>
      <c r="M31" s="173" t="s">
        <v>756</v>
      </c>
      <c r="N31" s="182">
        <v>44609</v>
      </c>
      <c r="O31" s="182">
        <v>44774</v>
      </c>
      <c r="P31" s="173" t="s">
        <v>533</v>
      </c>
      <c r="Q31" s="174">
        <v>1.42</v>
      </c>
      <c r="R31" s="174">
        <v>0.1183</v>
      </c>
      <c r="S31" s="183">
        <v>130.03</v>
      </c>
      <c r="T31" s="174">
        <v>4.5</v>
      </c>
      <c r="U31" s="183">
        <v>0.69</v>
      </c>
      <c r="X31" s="183"/>
    </row>
    <row r="32" spans="1:24" ht="15" customHeight="1">
      <c r="A32" s="173" t="s">
        <v>752</v>
      </c>
      <c r="B32" s="173" t="s">
        <v>753</v>
      </c>
      <c r="C32" s="173" t="s">
        <v>754</v>
      </c>
      <c r="D32" s="173" t="s">
        <v>429</v>
      </c>
      <c r="E32" s="174">
        <v>29989707</v>
      </c>
      <c r="F32" s="173" t="s">
        <v>779</v>
      </c>
      <c r="G32" s="174" t="str">
        <f t="shared" si="0"/>
        <v>326064A</v>
      </c>
      <c r="H32" s="174" t="str">
        <f>IFERROR(VLOOKUP($G32,'[21]Projects FERCs'!$A$8:$B$538,2,FALSE),0)</f>
        <v>Pwr Plt Tools &amp; Eq (Nog)</v>
      </c>
      <c r="I32" s="173" t="s">
        <v>31</v>
      </c>
      <c r="J32" s="173" t="s">
        <v>86</v>
      </c>
      <c r="K32" s="173" t="s">
        <v>282</v>
      </c>
      <c r="L32" s="173" t="s">
        <v>780</v>
      </c>
      <c r="M32" s="173" t="s">
        <v>781</v>
      </c>
      <c r="N32" s="182">
        <v>44551</v>
      </c>
      <c r="O32" s="182">
        <v>44774</v>
      </c>
      <c r="P32" s="173" t="s">
        <v>590</v>
      </c>
      <c r="Q32" s="174">
        <v>4.76</v>
      </c>
      <c r="R32" s="174">
        <v>0.3967</v>
      </c>
      <c r="S32" s="183">
        <v>-490.64</v>
      </c>
      <c r="T32" s="174">
        <v>6.5</v>
      </c>
      <c r="U32" s="183">
        <v>-12.65</v>
      </c>
      <c r="X32" s="183"/>
    </row>
    <row r="33" spans="1:24" ht="15" customHeight="1">
      <c r="Q33" s="188"/>
      <c r="R33" s="188"/>
      <c r="S33" s="189">
        <f>SUM(S5:S32)</f>
        <v>2792639.5499999993</v>
      </c>
      <c r="T33" s="188"/>
      <c r="U33" s="189">
        <f>SUM(U5:U32)</f>
        <v>66802.72000000003</v>
      </c>
      <c r="X33" s="183"/>
    </row>
    <row r="34" spans="1:24" ht="15" customHeight="1">
      <c r="A34" s="190" t="s">
        <v>782</v>
      </c>
      <c r="B34" s="185"/>
      <c r="S34" s="191" t="s">
        <v>41</v>
      </c>
      <c r="X34" s="183"/>
    </row>
    <row r="35" spans="1:24" ht="15" customHeight="1">
      <c r="A35" s="192" t="s">
        <v>783</v>
      </c>
      <c r="B35" s="192"/>
      <c r="X35" s="183"/>
    </row>
    <row r="36" spans="1:24" ht="15" customHeight="1">
      <c r="X36" s="183"/>
    </row>
    <row r="37" spans="1:24" ht="15" customHeight="1">
      <c r="X37" s="183"/>
    </row>
    <row r="38" spans="1:24" ht="15" customHeight="1">
      <c r="X38" s="183"/>
    </row>
    <row r="39" spans="1:24" ht="15" customHeight="1">
      <c r="X39" s="183"/>
    </row>
    <row r="40" spans="1:24" ht="15" customHeight="1">
      <c r="X40" s="183"/>
    </row>
    <row r="41" spans="1:24" ht="15" customHeight="1">
      <c r="X41" s="183"/>
    </row>
    <row r="42" spans="1:24" ht="15" customHeight="1">
      <c r="X42" s="183"/>
    </row>
    <row r="43" spans="1:24" ht="15" customHeight="1">
      <c r="X43" s="183"/>
    </row>
    <row r="44" spans="1:24" ht="15" customHeight="1">
      <c r="X44" s="183"/>
    </row>
    <row r="45" spans="1:24" ht="15" customHeight="1">
      <c r="X45" s="183"/>
    </row>
    <row r="46" spans="1:24" ht="15" customHeight="1">
      <c r="X46" s="183"/>
    </row>
    <row r="47" spans="1:24" ht="15" customHeight="1">
      <c r="X47" s="183"/>
    </row>
    <row r="48" spans="1:24" ht="15" customHeight="1">
      <c r="X48" s="183"/>
    </row>
    <row r="49" spans="24:24" ht="15" customHeight="1">
      <c r="X49" s="183"/>
    </row>
    <row r="50" spans="24:24" ht="15" customHeight="1">
      <c r="X50" s="183"/>
    </row>
    <row r="51" spans="24:24" ht="15" customHeight="1">
      <c r="X51" s="183"/>
    </row>
    <row r="52" spans="24:24" ht="15" customHeight="1">
      <c r="X52" s="183"/>
    </row>
    <row r="53" spans="24:24" ht="15" customHeight="1">
      <c r="X53" s="183"/>
    </row>
    <row r="54" spans="24:24" ht="15" customHeight="1">
      <c r="X54" s="183"/>
    </row>
    <row r="55" spans="24:24" ht="15" customHeight="1">
      <c r="X55" s="183"/>
    </row>
    <row r="56" spans="24:24" ht="15" customHeight="1">
      <c r="X56" s="183"/>
    </row>
    <row r="57" spans="24:24" ht="15" customHeight="1">
      <c r="X57" s="183"/>
    </row>
    <row r="58" spans="24:24" ht="15" customHeight="1">
      <c r="X58" s="183"/>
    </row>
    <row r="59" spans="24:24" ht="15" customHeight="1">
      <c r="X59" s="183"/>
    </row>
    <row r="60" spans="24:24" ht="15" customHeight="1">
      <c r="X60" s="183"/>
    </row>
    <row r="61" spans="24:24" ht="15" customHeight="1">
      <c r="X61" s="183"/>
    </row>
    <row r="62" spans="24:24" ht="15" customHeight="1">
      <c r="X62" s="183"/>
    </row>
    <row r="63" spans="24:24" ht="15" customHeight="1">
      <c r="X63" s="183"/>
    </row>
    <row r="64" spans="24:24" ht="15" customHeight="1">
      <c r="X64" s="183"/>
    </row>
    <row r="65" spans="24:24" ht="15" customHeight="1">
      <c r="X65" s="183"/>
    </row>
    <row r="66" spans="24:24" ht="15" customHeight="1">
      <c r="X66" s="183"/>
    </row>
    <row r="67" spans="24:24" ht="15" customHeight="1">
      <c r="X67" s="183"/>
    </row>
    <row r="68" spans="24:24" ht="15" customHeight="1">
      <c r="X68" s="183"/>
    </row>
    <row r="69" spans="24:24" ht="15" customHeight="1">
      <c r="X69" s="183"/>
    </row>
    <row r="70" spans="24:24" ht="15" customHeight="1">
      <c r="X70" s="183"/>
    </row>
    <row r="71" spans="24:24" ht="15" customHeight="1">
      <c r="X71" s="183"/>
    </row>
    <row r="72" spans="24:24" ht="15" customHeight="1">
      <c r="X72" s="183"/>
    </row>
    <row r="73" spans="24:24" ht="15" customHeight="1">
      <c r="X73" s="183"/>
    </row>
    <row r="74" spans="24:24" ht="15" customHeight="1">
      <c r="X74" s="183"/>
    </row>
    <row r="75" spans="24:24" ht="15" customHeight="1">
      <c r="X75" s="183"/>
    </row>
    <row r="76" spans="24:24" ht="15" customHeight="1">
      <c r="X76" s="183"/>
    </row>
    <row r="77" spans="24:24" ht="15" customHeight="1">
      <c r="X77" s="183"/>
    </row>
    <row r="78" spans="24:24" ht="15" customHeight="1">
      <c r="X78" s="183"/>
    </row>
    <row r="79" spans="24:24" ht="15" customHeight="1">
      <c r="X79" s="183"/>
    </row>
    <row r="80" spans="24:24" ht="15" customHeight="1">
      <c r="X80" s="183"/>
    </row>
    <row r="81" spans="24:24" ht="15" customHeight="1">
      <c r="X81" s="183"/>
    </row>
    <row r="82" spans="24:24" ht="15" customHeight="1">
      <c r="X82" s="183"/>
    </row>
    <row r="83" spans="24:24" ht="15" customHeight="1">
      <c r="X83" s="183"/>
    </row>
    <row r="84" spans="24:24" ht="15" customHeight="1">
      <c r="X84" s="183"/>
    </row>
    <row r="85" spans="24:24" ht="15" customHeight="1">
      <c r="X85" s="183"/>
    </row>
    <row r="86" spans="24:24" ht="15" customHeight="1">
      <c r="X86" s="183"/>
    </row>
    <row r="87" spans="24:24" ht="15" customHeight="1">
      <c r="X87" s="183"/>
    </row>
    <row r="88" spans="24:24" ht="15" customHeight="1">
      <c r="X88" s="183"/>
    </row>
    <row r="89" spans="24:24" ht="15" customHeight="1">
      <c r="X89" s="183"/>
    </row>
    <row r="90" spans="24:24" ht="15" customHeight="1">
      <c r="X90" s="183"/>
    </row>
    <row r="91" spans="24:24" ht="15" customHeight="1">
      <c r="X91" s="183"/>
    </row>
    <row r="92" spans="24:24" ht="15" customHeight="1">
      <c r="X92" s="183"/>
    </row>
    <row r="93" spans="24:24" ht="15" customHeight="1">
      <c r="X93" s="183"/>
    </row>
    <row r="94" spans="24:24" ht="15" customHeight="1">
      <c r="X94" s="183"/>
    </row>
    <row r="95" spans="24:24" ht="15" customHeight="1">
      <c r="X95" s="183"/>
    </row>
    <row r="96" spans="24:24" ht="15" customHeight="1">
      <c r="X96" s="183"/>
    </row>
    <row r="97" spans="24:24" ht="15" customHeight="1">
      <c r="X97" s="183"/>
    </row>
    <row r="98" spans="24:24" ht="15" customHeight="1">
      <c r="X98" s="183"/>
    </row>
    <row r="99" spans="24:24" ht="15" customHeight="1">
      <c r="X99" s="183"/>
    </row>
    <row r="100" spans="24:24" ht="15" customHeight="1">
      <c r="X100" s="183"/>
    </row>
    <row r="101" spans="24:24" ht="15" customHeight="1">
      <c r="X101" s="183"/>
    </row>
    <row r="102" spans="24:24" ht="15" customHeight="1">
      <c r="X102" s="183"/>
    </row>
    <row r="103" spans="24:24" ht="15" customHeight="1">
      <c r="X103" s="183"/>
    </row>
    <row r="104" spans="24:24" ht="15" customHeight="1">
      <c r="X104" s="183"/>
    </row>
    <row r="105" spans="24:24" ht="15" customHeight="1">
      <c r="X105" s="183"/>
    </row>
    <row r="106" spans="24:24" ht="15" customHeight="1">
      <c r="X106" s="183"/>
    </row>
    <row r="107" spans="24:24" ht="15" customHeight="1">
      <c r="X107" s="183"/>
    </row>
    <row r="108" spans="24:24" ht="15" customHeight="1">
      <c r="X108" s="183"/>
    </row>
    <row r="109" spans="24:24" ht="15" customHeight="1">
      <c r="X109" s="183"/>
    </row>
    <row r="110" spans="24:24" ht="15" customHeight="1">
      <c r="X110" s="183"/>
    </row>
    <row r="111" spans="24:24" ht="15" customHeight="1">
      <c r="X111" s="183"/>
    </row>
    <row r="112" spans="24:24" ht="15" customHeight="1">
      <c r="X112" s="183"/>
    </row>
    <row r="113" spans="24:24" ht="15" customHeight="1">
      <c r="X113" s="183"/>
    </row>
    <row r="114" spans="24:24" ht="15" customHeight="1">
      <c r="X114" s="183"/>
    </row>
    <row r="115" spans="24:24" ht="15" customHeight="1">
      <c r="X115" s="183"/>
    </row>
    <row r="116" spans="24:24" ht="15" customHeight="1">
      <c r="X116" s="183"/>
    </row>
    <row r="117" spans="24:24" ht="15" customHeight="1">
      <c r="X117" s="183"/>
    </row>
    <row r="118" spans="24:24" ht="15" customHeight="1">
      <c r="X118" s="183"/>
    </row>
    <row r="119" spans="24:24" ht="15" customHeight="1">
      <c r="X119" s="183"/>
    </row>
    <row r="120" spans="24:24" ht="15" customHeight="1">
      <c r="X120" s="183"/>
    </row>
    <row r="121" spans="24:24" ht="15" customHeight="1">
      <c r="X121" s="183"/>
    </row>
    <row r="122" spans="24:24" ht="15" customHeight="1">
      <c r="X122" s="183"/>
    </row>
    <row r="123" spans="24:24" ht="15" customHeight="1">
      <c r="X123" s="183"/>
    </row>
    <row r="124" spans="24:24" ht="15" customHeight="1">
      <c r="X124" s="183"/>
    </row>
    <row r="125" spans="24:24" ht="15" customHeight="1">
      <c r="X125" s="183"/>
    </row>
    <row r="126" spans="24:24" ht="15" customHeight="1">
      <c r="X126" s="183"/>
    </row>
    <row r="127" spans="24:24" ht="15" customHeight="1">
      <c r="X127" s="183"/>
    </row>
    <row r="128" spans="24:24" ht="15" customHeight="1">
      <c r="X128" s="183"/>
    </row>
    <row r="129" spans="24:24" ht="15" customHeight="1">
      <c r="X129" s="183"/>
    </row>
    <row r="130" spans="24:24" ht="15" customHeight="1">
      <c r="X130" s="183"/>
    </row>
    <row r="131" spans="24:24" ht="15" customHeight="1">
      <c r="X131" s="183"/>
    </row>
    <row r="132" spans="24:24" ht="15" customHeight="1">
      <c r="X132" s="183"/>
    </row>
    <row r="133" spans="24:24" ht="15" customHeight="1">
      <c r="X133" s="183"/>
    </row>
    <row r="134" spans="24:24" ht="15" customHeight="1">
      <c r="X134" s="183"/>
    </row>
    <row r="135" spans="24:24" ht="15" customHeight="1">
      <c r="X135" s="183"/>
    </row>
    <row r="136" spans="24:24" ht="15" customHeight="1">
      <c r="X136" s="183"/>
    </row>
    <row r="137" spans="24:24" ht="15" customHeight="1">
      <c r="X137" s="183"/>
    </row>
    <row r="138" spans="24:24" ht="15" customHeight="1">
      <c r="X138" s="183"/>
    </row>
    <row r="139" spans="24:24" ht="15" customHeight="1">
      <c r="X139" s="183"/>
    </row>
    <row r="140" spans="24:24" ht="15" customHeight="1">
      <c r="X140" s="183"/>
    </row>
    <row r="141" spans="24:24" ht="15" customHeight="1">
      <c r="X141" s="183"/>
    </row>
    <row r="142" spans="24:24" ht="15" customHeight="1">
      <c r="X142" s="183"/>
    </row>
    <row r="143" spans="24:24" ht="15" customHeight="1">
      <c r="X143" s="183"/>
    </row>
    <row r="144" spans="24:24" ht="15" customHeight="1">
      <c r="X144" s="183"/>
    </row>
    <row r="145" spans="24:24" ht="15" customHeight="1">
      <c r="X145" s="183"/>
    </row>
    <row r="146" spans="24:24" ht="15" customHeight="1">
      <c r="X146" s="183"/>
    </row>
    <row r="147" spans="24:24" ht="15" customHeight="1">
      <c r="X147" s="183"/>
    </row>
    <row r="148" spans="24:24" ht="15" customHeight="1">
      <c r="X148" s="183"/>
    </row>
    <row r="149" spans="24:24" ht="15" customHeight="1">
      <c r="X149" s="183"/>
    </row>
    <row r="150" spans="24:24" ht="15" customHeight="1">
      <c r="X150" s="183"/>
    </row>
    <row r="151" spans="24:24" ht="15" customHeight="1">
      <c r="X151" s="183"/>
    </row>
    <row r="152" spans="24:24" ht="15" customHeight="1">
      <c r="X152" s="183"/>
    </row>
    <row r="153" spans="24:24" ht="15" customHeight="1">
      <c r="X153" s="183"/>
    </row>
    <row r="154" spans="24:24" ht="15" customHeight="1">
      <c r="X154" s="183"/>
    </row>
    <row r="155" spans="24:24" ht="15" customHeight="1">
      <c r="X155" s="183"/>
    </row>
    <row r="156" spans="24:24" ht="15" customHeight="1">
      <c r="X156" s="183"/>
    </row>
    <row r="157" spans="24:24" ht="15" customHeight="1">
      <c r="X157" s="183"/>
    </row>
    <row r="158" spans="24:24" ht="15" customHeight="1">
      <c r="X158" s="183"/>
    </row>
    <row r="159" spans="24:24" ht="15" customHeight="1">
      <c r="X159" s="183"/>
    </row>
    <row r="160" spans="24:24" ht="15" customHeight="1">
      <c r="X160" s="183"/>
    </row>
    <row r="161" spans="24:24" ht="15" customHeight="1">
      <c r="X161" s="183"/>
    </row>
    <row r="162" spans="24:24" ht="15" customHeight="1">
      <c r="X162" s="183"/>
    </row>
    <row r="163" spans="24:24" ht="15" customHeight="1">
      <c r="X163" s="183"/>
    </row>
    <row r="164" spans="24:24" ht="15" customHeight="1">
      <c r="X164" s="183"/>
    </row>
    <row r="165" spans="24:24" ht="15" customHeight="1">
      <c r="X165" s="183"/>
    </row>
    <row r="166" spans="24:24" ht="15" customHeight="1">
      <c r="X166" s="183"/>
    </row>
    <row r="167" spans="24:24" ht="15" customHeight="1">
      <c r="X167" s="183"/>
    </row>
    <row r="168" spans="24:24" ht="15" customHeight="1">
      <c r="X168" s="183"/>
    </row>
    <row r="169" spans="24:24" ht="15" customHeight="1">
      <c r="X169" s="183"/>
    </row>
    <row r="170" spans="24:24" ht="15" customHeight="1">
      <c r="X170" s="183"/>
    </row>
    <row r="171" spans="24:24" ht="15" customHeight="1">
      <c r="X171" s="183"/>
    </row>
    <row r="172" spans="24:24" ht="15" customHeight="1">
      <c r="X172" s="183"/>
    </row>
    <row r="173" spans="24:24" ht="15" customHeight="1">
      <c r="X173" s="183"/>
    </row>
    <row r="174" spans="24:24" ht="15" customHeight="1">
      <c r="X174" s="183"/>
    </row>
    <row r="175" spans="24:24" ht="15" customHeight="1">
      <c r="X175" s="183"/>
    </row>
    <row r="176" spans="24:24" ht="15" customHeight="1">
      <c r="X176" s="183"/>
    </row>
    <row r="177" spans="24:24" ht="15" customHeight="1">
      <c r="X177" s="183"/>
    </row>
    <row r="178" spans="24:24" ht="15" customHeight="1">
      <c r="X178" s="183"/>
    </row>
    <row r="179" spans="24:24" ht="15" customHeight="1">
      <c r="X179" s="183"/>
    </row>
    <row r="180" spans="24:24" ht="15" customHeight="1">
      <c r="X180" s="183"/>
    </row>
    <row r="181" spans="24:24" ht="15" customHeight="1">
      <c r="X181" s="183"/>
    </row>
    <row r="182" spans="24:24" ht="15" customHeight="1">
      <c r="X182" s="183"/>
    </row>
    <row r="183" spans="24:24" ht="15" customHeight="1">
      <c r="X183" s="183"/>
    </row>
    <row r="184" spans="24:24" ht="15" customHeight="1">
      <c r="X184" s="183"/>
    </row>
    <row r="185" spans="24:24" ht="15" customHeight="1">
      <c r="X185" s="183"/>
    </row>
    <row r="186" spans="24:24" ht="15" customHeight="1">
      <c r="X186" s="183"/>
    </row>
    <row r="187" spans="24:24" ht="15" customHeight="1">
      <c r="X187" s="183"/>
    </row>
    <row r="188" spans="24:24" ht="15" customHeight="1">
      <c r="X188" s="183"/>
    </row>
    <row r="189" spans="24:24" ht="15" customHeight="1">
      <c r="X189" s="183"/>
    </row>
    <row r="190" spans="24:24" ht="15" customHeight="1">
      <c r="X190" s="183"/>
    </row>
    <row r="191" spans="24:24" ht="15" customHeight="1">
      <c r="X191" s="183"/>
    </row>
    <row r="192" spans="24:24" ht="15" customHeight="1">
      <c r="X192" s="183"/>
    </row>
    <row r="193" spans="24:24" ht="15" customHeight="1">
      <c r="X193" s="183"/>
    </row>
    <row r="194" spans="24:24" ht="15" customHeight="1">
      <c r="X194" s="183"/>
    </row>
    <row r="195" spans="24:24" ht="15" customHeight="1">
      <c r="X195" s="183"/>
    </row>
    <row r="196" spans="24:24" ht="15" customHeight="1">
      <c r="X196" s="183"/>
    </row>
    <row r="197" spans="24:24" ht="15" customHeight="1">
      <c r="X197" s="183"/>
    </row>
    <row r="198" spans="24:24" ht="15" customHeight="1">
      <c r="X198" s="183"/>
    </row>
    <row r="199" spans="24:24" ht="15" customHeight="1">
      <c r="X199" s="183"/>
    </row>
    <row r="200" spans="24:24" ht="15" customHeight="1">
      <c r="X200" s="183"/>
    </row>
    <row r="201" spans="24:24" ht="15" customHeight="1">
      <c r="X201" s="183"/>
    </row>
    <row r="202" spans="24:24" ht="15" customHeight="1">
      <c r="X202" s="183"/>
    </row>
    <row r="203" spans="24:24" ht="15" customHeight="1">
      <c r="X203" s="183"/>
    </row>
    <row r="204" spans="24:24" ht="15" customHeight="1">
      <c r="X204" s="183"/>
    </row>
    <row r="205" spans="24:24" ht="15" customHeight="1">
      <c r="X205" s="183"/>
    </row>
    <row r="206" spans="24:24" ht="15" customHeight="1">
      <c r="X206" s="183"/>
    </row>
    <row r="207" spans="24:24" ht="15" customHeight="1">
      <c r="X207" s="183"/>
    </row>
    <row r="208" spans="24:24" ht="15" customHeight="1">
      <c r="X208" s="183"/>
    </row>
    <row r="209" spans="24:24" ht="15" customHeight="1">
      <c r="X209" s="183"/>
    </row>
    <row r="210" spans="24:24" ht="15" customHeight="1">
      <c r="X210" s="183"/>
    </row>
    <row r="211" spans="24:24" ht="15" customHeight="1">
      <c r="X211" s="183"/>
    </row>
    <row r="212" spans="24:24" ht="15" customHeight="1">
      <c r="X212" s="183"/>
    </row>
    <row r="213" spans="24:24" ht="15" customHeight="1">
      <c r="X213" s="183"/>
    </row>
    <row r="214" spans="24:24" ht="15" customHeight="1">
      <c r="X214" s="183"/>
    </row>
    <row r="215" spans="24:24" ht="15" customHeight="1">
      <c r="X215" s="183"/>
    </row>
    <row r="216" spans="24:24" ht="15" customHeight="1">
      <c r="X216" s="183"/>
    </row>
    <row r="217" spans="24:24" ht="15" customHeight="1">
      <c r="X217" s="183"/>
    </row>
    <row r="218" spans="24:24" ht="15" customHeight="1">
      <c r="X218" s="183"/>
    </row>
    <row r="219" spans="24:24" ht="15" customHeight="1">
      <c r="X219" s="183"/>
    </row>
    <row r="220" spans="24:24" ht="15" customHeight="1">
      <c r="X220" s="183"/>
    </row>
    <row r="221" spans="24:24" ht="15" customHeight="1">
      <c r="X221" s="183"/>
    </row>
    <row r="222" spans="24:24" ht="15" customHeight="1">
      <c r="X222" s="183"/>
    </row>
    <row r="223" spans="24:24" ht="15" customHeight="1">
      <c r="X223" s="183"/>
    </row>
    <row r="224" spans="24:24" ht="15" customHeight="1">
      <c r="X224" s="183"/>
    </row>
    <row r="225" spans="24:24" ht="15" customHeight="1">
      <c r="X225" s="183"/>
    </row>
    <row r="226" spans="24:24" ht="15" customHeight="1">
      <c r="X226" s="183"/>
    </row>
    <row r="227" spans="24:24" ht="15" customHeight="1">
      <c r="X227" s="183"/>
    </row>
    <row r="228" spans="24:24" ht="15" customHeight="1">
      <c r="X228" s="183"/>
    </row>
    <row r="229" spans="24:24" ht="15" customHeight="1">
      <c r="X229" s="183"/>
    </row>
    <row r="230" spans="24:24" ht="15" customHeight="1">
      <c r="X230" s="183"/>
    </row>
    <row r="231" spans="24:24" ht="15" customHeight="1">
      <c r="X231" s="183"/>
    </row>
    <row r="232" spans="24:24" ht="15" customHeight="1">
      <c r="X232" s="183"/>
    </row>
    <row r="233" spans="24:24" ht="15" customHeight="1">
      <c r="X233" s="183"/>
    </row>
    <row r="234" spans="24:24" ht="15" customHeight="1">
      <c r="X234" s="183"/>
    </row>
    <row r="235" spans="24:24" ht="15" customHeight="1">
      <c r="X235" s="183"/>
    </row>
    <row r="236" spans="24:24" ht="15" customHeight="1">
      <c r="X236" s="183"/>
    </row>
    <row r="237" spans="24:24" ht="15" customHeight="1">
      <c r="X237" s="183"/>
    </row>
    <row r="238" spans="24:24" ht="15" customHeight="1">
      <c r="X238" s="183"/>
    </row>
    <row r="239" spans="24:24" ht="15" customHeight="1">
      <c r="X239" s="183"/>
    </row>
    <row r="240" spans="24:24" ht="15" customHeight="1">
      <c r="X240" s="183"/>
    </row>
    <row r="241" spans="24:24" ht="15" customHeight="1">
      <c r="X241" s="183"/>
    </row>
    <row r="242" spans="24:24" ht="15" customHeight="1">
      <c r="X242" s="183"/>
    </row>
    <row r="243" spans="24:24" ht="15" customHeight="1">
      <c r="X243" s="183"/>
    </row>
    <row r="244" spans="24:24" ht="15" customHeight="1">
      <c r="X244" s="183"/>
    </row>
    <row r="245" spans="24:24" ht="15" customHeight="1">
      <c r="X245" s="183"/>
    </row>
    <row r="246" spans="24:24" ht="15" customHeight="1">
      <c r="X246" s="183"/>
    </row>
    <row r="247" spans="24:24" ht="15" customHeight="1">
      <c r="X247" s="183"/>
    </row>
    <row r="248" spans="24:24" ht="15" customHeight="1">
      <c r="X248" s="183"/>
    </row>
    <row r="249" spans="24:24" ht="15" customHeight="1">
      <c r="X249" s="183"/>
    </row>
    <row r="250" spans="24:24" ht="15" customHeight="1">
      <c r="X250" s="183"/>
    </row>
    <row r="251" spans="24:24" ht="15" customHeight="1">
      <c r="X251" s="183"/>
    </row>
    <row r="252" spans="24:24" ht="15" customHeight="1">
      <c r="X252" s="183"/>
    </row>
    <row r="253" spans="24:24" ht="15" customHeight="1">
      <c r="X253" s="183"/>
    </row>
    <row r="254" spans="24:24" ht="15" customHeight="1">
      <c r="X254" s="183"/>
    </row>
    <row r="255" spans="24:24" ht="15" customHeight="1">
      <c r="X255" s="183"/>
    </row>
    <row r="256" spans="24:24" ht="15" customHeight="1">
      <c r="X256" s="183"/>
    </row>
    <row r="257" spans="24:24" ht="15" customHeight="1">
      <c r="X257" s="183"/>
    </row>
    <row r="258" spans="24:24" ht="15" customHeight="1">
      <c r="X258" s="183"/>
    </row>
    <row r="259" spans="24:24" ht="15" customHeight="1">
      <c r="X259" s="183"/>
    </row>
    <row r="260" spans="24:24" ht="15" customHeight="1">
      <c r="X260" s="183"/>
    </row>
    <row r="261" spans="24:24" ht="15" customHeight="1">
      <c r="X261" s="183"/>
    </row>
    <row r="262" spans="24:24" ht="15" customHeight="1">
      <c r="X262" s="183"/>
    </row>
    <row r="263" spans="24:24" ht="15" customHeight="1">
      <c r="X263" s="183"/>
    </row>
    <row r="264" spans="24:24" ht="15" customHeight="1">
      <c r="X264" s="183"/>
    </row>
    <row r="265" spans="24:24" ht="15" customHeight="1">
      <c r="X265" s="183"/>
    </row>
    <row r="266" spans="24:24" ht="15" customHeight="1">
      <c r="X266" s="183"/>
    </row>
    <row r="267" spans="24:24" ht="15" customHeight="1">
      <c r="X267" s="183"/>
    </row>
    <row r="268" spans="24:24" ht="15" customHeight="1">
      <c r="X268" s="183"/>
    </row>
    <row r="269" spans="24:24" ht="15" customHeight="1">
      <c r="X269" s="183"/>
    </row>
    <row r="270" spans="24:24" ht="15" customHeight="1">
      <c r="X270" s="183"/>
    </row>
    <row r="271" spans="24:24" ht="15" customHeight="1">
      <c r="X271" s="183"/>
    </row>
    <row r="272" spans="24:24" ht="15" customHeight="1">
      <c r="X272" s="183"/>
    </row>
    <row r="273" spans="24:24" ht="15" customHeight="1">
      <c r="X273" s="183"/>
    </row>
    <row r="274" spans="24:24" ht="15" customHeight="1">
      <c r="X274" s="183"/>
    </row>
    <row r="275" spans="24:24" ht="15" customHeight="1">
      <c r="X275" s="183"/>
    </row>
    <row r="276" spans="24:24" ht="15" customHeight="1">
      <c r="X276" s="183"/>
    </row>
    <row r="277" spans="24:24" ht="15" customHeight="1">
      <c r="X277" s="183"/>
    </row>
    <row r="278" spans="24:24" ht="15" customHeight="1">
      <c r="X278" s="183"/>
    </row>
    <row r="279" spans="24:24" ht="15" customHeight="1">
      <c r="X279" s="183"/>
    </row>
    <row r="280" spans="24:24" ht="15" customHeight="1">
      <c r="X280" s="183"/>
    </row>
    <row r="281" spans="24:24" ht="15" customHeight="1">
      <c r="X281" s="183"/>
    </row>
    <row r="282" spans="24:24" ht="15" customHeight="1">
      <c r="X282" s="183"/>
    </row>
    <row r="283" spans="24:24" ht="15" customHeight="1">
      <c r="X283" s="183"/>
    </row>
    <row r="284" spans="24:24" ht="15" customHeight="1">
      <c r="X284" s="183"/>
    </row>
    <row r="285" spans="24:24" ht="15" customHeight="1">
      <c r="X285" s="183"/>
    </row>
    <row r="286" spans="24:24" ht="15" customHeight="1">
      <c r="X286" s="183"/>
    </row>
    <row r="287" spans="24:24" ht="15" customHeight="1">
      <c r="X287" s="183"/>
    </row>
    <row r="288" spans="24:24" ht="15" customHeight="1">
      <c r="X288" s="183"/>
    </row>
    <row r="289" spans="24:24" ht="15" customHeight="1">
      <c r="X289" s="183"/>
    </row>
    <row r="290" spans="24:24" ht="15" customHeight="1">
      <c r="X290" s="183"/>
    </row>
    <row r="291" spans="24:24" ht="15" customHeight="1">
      <c r="X291" s="183"/>
    </row>
    <row r="292" spans="24:24" ht="15" customHeight="1">
      <c r="X292" s="183"/>
    </row>
    <row r="293" spans="24:24" ht="15" customHeight="1">
      <c r="X293" s="183"/>
    </row>
    <row r="294" spans="24:24" ht="15" customHeight="1">
      <c r="X294" s="183"/>
    </row>
    <row r="295" spans="24:24" ht="15" customHeight="1">
      <c r="X295" s="183"/>
    </row>
    <row r="296" spans="24:24" ht="15" customHeight="1">
      <c r="X296" s="183"/>
    </row>
    <row r="297" spans="24:24" ht="15" customHeight="1">
      <c r="X297" s="183"/>
    </row>
    <row r="298" spans="24:24" ht="15" customHeight="1">
      <c r="X298" s="183"/>
    </row>
    <row r="299" spans="24:24" ht="15" customHeight="1">
      <c r="X299" s="183"/>
    </row>
    <row r="300" spans="24:24" ht="15" customHeight="1">
      <c r="X300" s="183"/>
    </row>
    <row r="301" spans="24:24" ht="15" customHeight="1">
      <c r="X301" s="183"/>
    </row>
    <row r="302" spans="24:24" ht="15" customHeight="1">
      <c r="X302" s="183"/>
    </row>
    <row r="303" spans="24:24" ht="15" customHeight="1">
      <c r="X303" s="183"/>
    </row>
    <row r="304" spans="24:24" ht="15" customHeight="1">
      <c r="X304" s="183"/>
    </row>
    <row r="305" spans="24:24" ht="15" customHeight="1">
      <c r="X305" s="183"/>
    </row>
    <row r="306" spans="24:24" ht="15" customHeight="1">
      <c r="X306" s="183"/>
    </row>
    <row r="307" spans="24:24" ht="15" customHeight="1">
      <c r="X307" s="183"/>
    </row>
    <row r="308" spans="24:24" ht="15" customHeight="1">
      <c r="X308" s="183"/>
    </row>
    <row r="309" spans="24:24" ht="15" customHeight="1">
      <c r="X309" s="183"/>
    </row>
    <row r="310" spans="24:24" ht="15" customHeight="1">
      <c r="X310" s="183"/>
    </row>
    <row r="311" spans="24:24" ht="15" customHeight="1">
      <c r="X311" s="183"/>
    </row>
    <row r="312" spans="24:24" ht="15" customHeight="1">
      <c r="X312" s="183"/>
    </row>
    <row r="313" spans="24:24" ht="15" customHeight="1">
      <c r="X313" s="183"/>
    </row>
    <row r="314" spans="24:24" ht="15" customHeight="1">
      <c r="X314" s="183"/>
    </row>
    <row r="315" spans="24:24" ht="15" customHeight="1">
      <c r="X315" s="183"/>
    </row>
    <row r="316" spans="24:24" ht="15" customHeight="1">
      <c r="X316" s="183"/>
    </row>
    <row r="317" spans="24:24" ht="15" customHeight="1">
      <c r="X317" s="183"/>
    </row>
    <row r="318" spans="24:24" ht="15" customHeight="1">
      <c r="X318" s="183"/>
    </row>
    <row r="319" spans="24:24" ht="15" customHeight="1">
      <c r="X319" s="183"/>
    </row>
    <row r="320" spans="24:24" ht="15" customHeight="1">
      <c r="X320" s="183"/>
    </row>
    <row r="321" spans="24:24" ht="15" customHeight="1">
      <c r="X321" s="183"/>
    </row>
    <row r="322" spans="24:24" ht="15" customHeight="1">
      <c r="X322" s="183"/>
    </row>
    <row r="323" spans="24:24" ht="15" customHeight="1">
      <c r="X323" s="183"/>
    </row>
    <row r="324" spans="24:24" ht="15" customHeight="1">
      <c r="X324" s="183"/>
    </row>
    <row r="325" spans="24:24" ht="15" customHeight="1">
      <c r="X325" s="183"/>
    </row>
    <row r="326" spans="24:24" ht="15" customHeight="1">
      <c r="X326" s="183"/>
    </row>
    <row r="327" spans="24:24" ht="15" customHeight="1">
      <c r="X327" s="183"/>
    </row>
    <row r="328" spans="24:24" ht="15" customHeight="1">
      <c r="X328" s="183"/>
    </row>
    <row r="329" spans="24:24" ht="15" customHeight="1">
      <c r="X329" s="183"/>
    </row>
    <row r="330" spans="24:24" ht="15" customHeight="1">
      <c r="X330" s="183"/>
    </row>
    <row r="331" spans="24:24" ht="15" customHeight="1">
      <c r="X331" s="183"/>
    </row>
    <row r="332" spans="24:24" ht="15" customHeight="1">
      <c r="X332" s="183"/>
    </row>
    <row r="333" spans="24:24" ht="15" customHeight="1">
      <c r="X333" s="183"/>
    </row>
    <row r="334" spans="24:24" ht="15" customHeight="1">
      <c r="X334" s="183"/>
    </row>
    <row r="335" spans="24:24" ht="15" customHeight="1">
      <c r="X335" s="183"/>
    </row>
    <row r="336" spans="24:24" ht="15" customHeight="1">
      <c r="X336" s="183"/>
    </row>
    <row r="337" spans="24:24" ht="15" customHeight="1">
      <c r="X337" s="183"/>
    </row>
    <row r="338" spans="24:24" ht="15" customHeight="1">
      <c r="X338" s="183"/>
    </row>
    <row r="339" spans="24:24" ht="15" customHeight="1">
      <c r="X339" s="183"/>
    </row>
    <row r="340" spans="24:24" ht="15" customHeight="1">
      <c r="X340" s="183"/>
    </row>
    <row r="341" spans="24:24" ht="15" customHeight="1">
      <c r="X341" s="183"/>
    </row>
    <row r="342" spans="24:24" ht="15" customHeight="1">
      <c r="X342" s="183"/>
    </row>
    <row r="343" spans="24:24" ht="15" customHeight="1">
      <c r="X343" s="183"/>
    </row>
    <row r="344" spans="24:24" ht="15" customHeight="1">
      <c r="X344" s="183"/>
    </row>
    <row r="345" spans="24:24" ht="15" customHeight="1">
      <c r="X345" s="183"/>
    </row>
    <row r="346" spans="24:24" ht="15" customHeight="1">
      <c r="X346" s="183"/>
    </row>
    <row r="347" spans="24:24" ht="15" customHeight="1">
      <c r="X347" s="183"/>
    </row>
    <row r="348" spans="24:24" ht="15" customHeight="1">
      <c r="X348" s="183"/>
    </row>
    <row r="349" spans="24:24" ht="15" customHeight="1">
      <c r="X349" s="183"/>
    </row>
    <row r="350" spans="24:24" ht="15" customHeight="1">
      <c r="X350" s="183"/>
    </row>
    <row r="351" spans="24:24" ht="15" customHeight="1">
      <c r="X351" s="183"/>
    </row>
    <row r="352" spans="24:24" ht="15" customHeight="1">
      <c r="X352" s="183"/>
    </row>
    <row r="353" spans="24:24" ht="15" customHeight="1">
      <c r="X353" s="183"/>
    </row>
    <row r="354" spans="24:24" ht="15" customHeight="1">
      <c r="X354" s="183"/>
    </row>
    <row r="355" spans="24:24" ht="15" customHeight="1">
      <c r="X355" s="183"/>
    </row>
    <row r="356" spans="24:24" ht="15" customHeight="1">
      <c r="X356" s="183"/>
    </row>
    <row r="357" spans="24:24" ht="15" customHeight="1">
      <c r="X357" s="183"/>
    </row>
    <row r="358" spans="24:24" ht="15" customHeight="1">
      <c r="X358" s="183"/>
    </row>
    <row r="359" spans="24:24" ht="15" customHeight="1">
      <c r="X359" s="183"/>
    </row>
    <row r="360" spans="24:24" ht="15" customHeight="1">
      <c r="X360" s="183"/>
    </row>
    <row r="361" spans="24:24" ht="15" customHeight="1">
      <c r="X361" s="183"/>
    </row>
    <row r="362" spans="24:24" ht="15" customHeight="1">
      <c r="X362" s="183"/>
    </row>
    <row r="363" spans="24:24" ht="15" customHeight="1">
      <c r="X363" s="183"/>
    </row>
    <row r="364" spans="24:24" ht="15" customHeight="1">
      <c r="X364" s="183"/>
    </row>
    <row r="365" spans="24:24" ht="15" customHeight="1">
      <c r="X365" s="183"/>
    </row>
    <row r="366" spans="24:24" ht="15" customHeight="1">
      <c r="X366" s="183"/>
    </row>
    <row r="367" spans="24:24" ht="15" customHeight="1">
      <c r="X367" s="183"/>
    </row>
    <row r="368" spans="24:24" ht="15" customHeight="1">
      <c r="X368" s="183"/>
    </row>
    <row r="369" spans="24:24" ht="15" customHeight="1">
      <c r="X369" s="183"/>
    </row>
    <row r="370" spans="24:24" ht="15" customHeight="1">
      <c r="X370" s="183"/>
    </row>
    <row r="371" spans="24:24" ht="15" customHeight="1">
      <c r="X371" s="183"/>
    </row>
    <row r="372" spans="24:24" ht="15" customHeight="1">
      <c r="X372" s="183"/>
    </row>
    <row r="373" spans="24:24" ht="15" customHeight="1">
      <c r="X373" s="183"/>
    </row>
    <row r="374" spans="24:24" ht="15" customHeight="1">
      <c r="X374" s="183"/>
    </row>
    <row r="375" spans="24:24" ht="15" customHeight="1">
      <c r="X375" s="183"/>
    </row>
    <row r="376" spans="24:24" ht="15" customHeight="1">
      <c r="X376" s="183"/>
    </row>
    <row r="377" spans="24:24" ht="15" customHeight="1">
      <c r="X377" s="183"/>
    </row>
    <row r="378" spans="24:24" ht="15" customHeight="1">
      <c r="X378" s="183"/>
    </row>
    <row r="379" spans="24:24" ht="15" customHeight="1">
      <c r="X379" s="183"/>
    </row>
    <row r="380" spans="24:24" ht="15" customHeight="1">
      <c r="X380" s="183"/>
    </row>
    <row r="381" spans="24:24" ht="15" customHeight="1">
      <c r="X381" s="183"/>
    </row>
    <row r="382" spans="24:24" ht="15" customHeight="1">
      <c r="X382" s="183"/>
    </row>
    <row r="383" spans="24:24" ht="15" customHeight="1">
      <c r="X383" s="183"/>
    </row>
    <row r="384" spans="24:24" ht="15" customHeight="1">
      <c r="X384" s="183"/>
    </row>
    <row r="385" spans="24:24" ht="15" customHeight="1">
      <c r="X385" s="183"/>
    </row>
    <row r="386" spans="24:24" ht="15" customHeight="1">
      <c r="X386" s="183"/>
    </row>
    <row r="387" spans="24:24" ht="15" customHeight="1">
      <c r="X387" s="183"/>
    </row>
    <row r="388" spans="24:24">
      <c r="X388" s="183"/>
    </row>
    <row r="389" spans="24:24" ht="15" customHeight="1">
      <c r="X389" s="183"/>
    </row>
    <row r="390" spans="24:24" ht="15" customHeight="1">
      <c r="X390" s="183"/>
    </row>
    <row r="391" spans="24:24" ht="15" customHeight="1">
      <c r="X391" s="183"/>
    </row>
    <row r="392" spans="24:24" ht="15" customHeight="1">
      <c r="X392" s="183"/>
    </row>
    <row r="393" spans="24:24">
      <c r="X393" s="183"/>
    </row>
    <row r="394" spans="24:24" ht="15" customHeight="1">
      <c r="X394" s="183"/>
    </row>
    <row r="395" spans="24:24" ht="15" customHeight="1">
      <c r="X395" s="183"/>
    </row>
    <row r="396" spans="24:24">
      <c r="X396" s="183"/>
    </row>
    <row r="397" spans="24:24" ht="15" customHeight="1">
      <c r="X397" s="183"/>
    </row>
    <row r="398" spans="24:24" ht="15" customHeight="1">
      <c r="X398" s="183"/>
    </row>
    <row r="399" spans="24:24" ht="15" customHeight="1">
      <c r="X399" s="183"/>
    </row>
    <row r="400" spans="24:24">
      <c r="X400" s="183"/>
    </row>
    <row r="401" spans="24:24">
      <c r="X401" s="183"/>
    </row>
    <row r="402" spans="24:24">
      <c r="X402" s="183"/>
    </row>
    <row r="403" spans="24:24">
      <c r="X403" s="183"/>
    </row>
    <row r="404" spans="24:24">
      <c r="X404" s="183"/>
    </row>
    <row r="405" spans="24:24">
      <c r="X405" s="183"/>
    </row>
    <row r="406" spans="24:24" ht="15" customHeight="1">
      <c r="X406" s="183"/>
    </row>
    <row r="407" spans="24:24" ht="15" customHeight="1">
      <c r="X407" s="183"/>
    </row>
    <row r="408" spans="24:24" ht="15" customHeight="1">
      <c r="X408" s="183"/>
    </row>
    <row r="409" spans="24:24" ht="15" customHeight="1">
      <c r="X409" s="183"/>
    </row>
    <row r="410" spans="24:24" ht="15" customHeight="1">
      <c r="X410" s="183"/>
    </row>
    <row r="411" spans="24:24" ht="15" customHeight="1">
      <c r="X411" s="183"/>
    </row>
    <row r="412" spans="24:24" ht="15" customHeight="1">
      <c r="X412" s="183"/>
    </row>
    <row r="413" spans="24:24" ht="15" customHeight="1">
      <c r="X413" s="183"/>
    </row>
    <row r="414" spans="24:24" ht="15" customHeight="1">
      <c r="X414" s="183"/>
    </row>
    <row r="415" spans="24:24" ht="15" customHeight="1">
      <c r="X415" s="183"/>
    </row>
    <row r="416" spans="24:24" ht="15" customHeight="1">
      <c r="X416" s="183"/>
    </row>
    <row r="417" spans="24:24" ht="15" customHeight="1">
      <c r="X417" s="183"/>
    </row>
    <row r="418" spans="24:24" ht="15" customHeight="1">
      <c r="X418" s="183"/>
    </row>
    <row r="419" spans="24:24" ht="15" customHeight="1">
      <c r="X419" s="183"/>
    </row>
    <row r="420" spans="24:24" ht="15" customHeight="1">
      <c r="X420" s="183"/>
    </row>
    <row r="421" spans="24:24" ht="15" customHeight="1">
      <c r="X421" s="183"/>
    </row>
    <row r="422" spans="24:24">
      <c r="X422" s="183"/>
    </row>
    <row r="423" spans="24:24" ht="15" customHeight="1">
      <c r="X423" s="183"/>
    </row>
    <row r="424" spans="24:24" ht="15" customHeight="1">
      <c r="X424" s="183"/>
    </row>
    <row r="425" spans="24:24" ht="15" customHeight="1">
      <c r="X425" s="183"/>
    </row>
    <row r="426" spans="24:24" ht="15" customHeight="1">
      <c r="X426" s="183"/>
    </row>
    <row r="427" spans="24:24" ht="15" customHeight="1">
      <c r="X427" s="183"/>
    </row>
    <row r="428" spans="24:24" ht="15" customHeight="1">
      <c r="X428" s="183"/>
    </row>
    <row r="429" spans="24:24">
      <c r="X429" s="183"/>
    </row>
    <row r="430" spans="24:24" ht="15" customHeight="1">
      <c r="X430" s="183"/>
    </row>
    <row r="431" spans="24:24" ht="15" customHeight="1">
      <c r="X431" s="183"/>
    </row>
    <row r="432" spans="24:24" ht="15" customHeight="1">
      <c r="X432" s="183"/>
    </row>
    <row r="433" spans="24:24" ht="15" customHeight="1">
      <c r="X433" s="183"/>
    </row>
    <row r="434" spans="24:24">
      <c r="X434" s="183"/>
    </row>
    <row r="435" spans="24:24" ht="15" customHeight="1">
      <c r="X435" s="183"/>
    </row>
    <row r="436" spans="24:24">
      <c r="X436" s="183"/>
    </row>
    <row r="437" spans="24:24">
      <c r="X437" s="183"/>
    </row>
    <row r="438" spans="24:24" ht="15" customHeight="1">
      <c r="X438" s="183"/>
    </row>
    <row r="439" spans="24:24" ht="15" customHeight="1">
      <c r="X439" s="183"/>
    </row>
    <row r="440" spans="24:24" ht="15" customHeight="1">
      <c r="X440" s="183"/>
    </row>
    <row r="441" spans="24:24">
      <c r="X441" s="183"/>
    </row>
    <row r="442" spans="24:24">
      <c r="X442" s="183"/>
    </row>
    <row r="443" spans="24:24">
      <c r="X443" s="183"/>
    </row>
    <row r="444" spans="24:24">
      <c r="X444" s="183"/>
    </row>
    <row r="445" spans="24:24">
      <c r="X445" s="183"/>
    </row>
    <row r="446" spans="24:24" ht="15" customHeight="1">
      <c r="X446" s="183"/>
    </row>
    <row r="447" spans="24:24" ht="15" customHeight="1">
      <c r="X447" s="183"/>
    </row>
    <row r="448" spans="24:24">
      <c r="X448" s="183"/>
    </row>
    <row r="449" spans="24:24">
      <c r="X449" s="183"/>
    </row>
    <row r="450" spans="24:24">
      <c r="X450" s="183"/>
    </row>
    <row r="451" spans="24:24" ht="15" customHeight="1">
      <c r="X451" s="183"/>
    </row>
    <row r="452" spans="24:24" ht="15" customHeight="1">
      <c r="X452" s="183"/>
    </row>
    <row r="453" spans="24:24" ht="15" customHeight="1">
      <c r="X453" s="183"/>
    </row>
    <row r="454" spans="24:24">
      <c r="X454" s="183"/>
    </row>
    <row r="455" spans="24:24" ht="15" customHeight="1">
      <c r="X455" s="183"/>
    </row>
    <row r="456" spans="24:24" ht="15" customHeight="1">
      <c r="X456" s="183"/>
    </row>
    <row r="457" spans="24:24" ht="15" customHeight="1">
      <c r="X457" s="183"/>
    </row>
    <row r="458" spans="24:24">
      <c r="X458" s="183"/>
    </row>
    <row r="459" spans="24:24" ht="15" customHeight="1">
      <c r="X459" s="183"/>
    </row>
    <row r="460" spans="24:24" ht="15" customHeight="1">
      <c r="X460" s="183"/>
    </row>
    <row r="461" spans="24:24" ht="15" customHeight="1">
      <c r="X461" s="183"/>
    </row>
    <row r="462" spans="24:24">
      <c r="X462" s="183"/>
    </row>
    <row r="463" spans="24:24">
      <c r="X463" s="183"/>
    </row>
    <row r="464" spans="24:24">
      <c r="X464" s="183"/>
    </row>
    <row r="465" spans="24:24" ht="15" customHeight="1">
      <c r="X465" s="183"/>
    </row>
    <row r="466" spans="24:24" ht="15" customHeight="1">
      <c r="X466" s="183"/>
    </row>
    <row r="467" spans="24:24">
      <c r="X467" s="183"/>
    </row>
    <row r="468" spans="24:24">
      <c r="X468" s="183"/>
    </row>
    <row r="469" spans="24:24" ht="15" customHeight="1">
      <c r="X469" s="183"/>
    </row>
    <row r="470" spans="24:24">
      <c r="X470" s="183"/>
    </row>
    <row r="471" spans="24:24">
      <c r="X471" s="183"/>
    </row>
    <row r="472" spans="24:24">
      <c r="X472" s="183"/>
    </row>
    <row r="473" spans="24:24" ht="15" customHeight="1">
      <c r="X473" s="183"/>
    </row>
    <row r="474" spans="24:24" ht="15" customHeight="1">
      <c r="X474" s="183"/>
    </row>
    <row r="475" spans="24:24">
      <c r="X475" s="183"/>
    </row>
    <row r="476" spans="24:24">
      <c r="X476" s="183"/>
    </row>
    <row r="477" spans="24:24">
      <c r="X477" s="183"/>
    </row>
    <row r="478" spans="24:24">
      <c r="X478" s="183"/>
    </row>
    <row r="479" spans="24:24">
      <c r="X479" s="183"/>
    </row>
    <row r="480" spans="24:24">
      <c r="X480" s="183"/>
    </row>
    <row r="481" spans="24:24">
      <c r="X481" s="183"/>
    </row>
    <row r="482" spans="24:24">
      <c r="X482" s="183"/>
    </row>
    <row r="483" spans="24:24" ht="15" customHeight="1">
      <c r="X483" s="183"/>
    </row>
    <row r="484" spans="24:24" ht="15" customHeight="1">
      <c r="X484" s="183"/>
    </row>
    <row r="485" spans="24:24" ht="15" customHeight="1">
      <c r="X485" s="183"/>
    </row>
    <row r="486" spans="24:24" ht="15" customHeight="1">
      <c r="X486" s="183"/>
    </row>
    <row r="487" spans="24:24" ht="15" customHeight="1">
      <c r="X487" s="183"/>
    </row>
    <row r="488" spans="24:24" ht="15" customHeight="1">
      <c r="X488" s="183"/>
    </row>
    <row r="489" spans="24:24">
      <c r="X489" s="183"/>
    </row>
    <row r="490" spans="24:24">
      <c r="X490" s="183"/>
    </row>
    <row r="491" spans="24:24" ht="15" customHeight="1">
      <c r="X491" s="183"/>
    </row>
    <row r="492" spans="24:24" ht="15" customHeight="1">
      <c r="X492" s="183"/>
    </row>
    <row r="493" spans="24:24" ht="15" customHeight="1">
      <c r="X493" s="183"/>
    </row>
    <row r="494" spans="24:24" ht="15" customHeight="1">
      <c r="X494" s="183"/>
    </row>
    <row r="495" spans="24:24">
      <c r="X495" s="183"/>
    </row>
    <row r="496" spans="24:24">
      <c r="X496" s="183"/>
    </row>
    <row r="497" spans="24:24">
      <c r="X497" s="183"/>
    </row>
    <row r="498" spans="24:24">
      <c r="X498" s="183"/>
    </row>
    <row r="499" spans="24:24" ht="15" customHeight="1">
      <c r="X499" s="183"/>
    </row>
    <row r="500" spans="24:24">
      <c r="X500" s="183"/>
    </row>
    <row r="501" spans="24:24" ht="15" customHeight="1">
      <c r="X501" s="183"/>
    </row>
    <row r="502" spans="24:24">
      <c r="X502" s="183"/>
    </row>
    <row r="503" spans="24:24" ht="15" customHeight="1">
      <c r="X503" s="183"/>
    </row>
    <row r="504" spans="24:24" ht="15" customHeight="1">
      <c r="X504" s="183"/>
    </row>
    <row r="505" spans="24:24">
      <c r="X505" s="183"/>
    </row>
    <row r="506" spans="24:24">
      <c r="X506" s="183"/>
    </row>
    <row r="507" spans="24:24" ht="15" customHeight="1">
      <c r="X507" s="183"/>
    </row>
    <row r="508" spans="24:24">
      <c r="X508" s="183"/>
    </row>
    <row r="509" spans="24:24">
      <c r="X509" s="183"/>
    </row>
    <row r="510" spans="24:24">
      <c r="X510" s="183"/>
    </row>
    <row r="511" spans="24:24">
      <c r="X511" s="183"/>
    </row>
    <row r="512" spans="24:24" ht="15" customHeight="1">
      <c r="X512" s="183"/>
    </row>
    <row r="513" spans="24:24" ht="15" customHeight="1">
      <c r="X513" s="183"/>
    </row>
    <row r="514" spans="24:24">
      <c r="X514" s="183"/>
    </row>
    <row r="515" spans="24:24">
      <c r="X515" s="183"/>
    </row>
    <row r="516" spans="24:24">
      <c r="X516" s="183"/>
    </row>
    <row r="517" spans="24:24">
      <c r="X517" s="183"/>
    </row>
    <row r="518" spans="24:24">
      <c r="X518" s="183"/>
    </row>
    <row r="519" spans="24:24">
      <c r="X519" s="183"/>
    </row>
    <row r="520" spans="24:24">
      <c r="X520" s="183"/>
    </row>
    <row r="521" spans="24:24" ht="15" customHeight="1">
      <c r="X521" s="183"/>
    </row>
    <row r="522" spans="24:24" ht="15" customHeight="1">
      <c r="X522" s="183"/>
    </row>
    <row r="523" spans="24:24" ht="15" customHeight="1">
      <c r="X523" s="183"/>
    </row>
    <row r="524" spans="24:24">
      <c r="X524" s="183"/>
    </row>
    <row r="525" spans="24:24">
      <c r="X525" s="183"/>
    </row>
    <row r="526" spans="24:24" ht="15" customHeight="1">
      <c r="X526" s="183"/>
    </row>
    <row r="527" spans="24:24" ht="15" customHeight="1">
      <c r="X527" s="183"/>
    </row>
    <row r="528" spans="24:24" ht="15" customHeight="1">
      <c r="X528" s="183"/>
    </row>
    <row r="529" spans="24:24" ht="15" customHeight="1">
      <c r="X529" s="183"/>
    </row>
    <row r="530" spans="24:24" ht="15" customHeight="1">
      <c r="X530" s="183"/>
    </row>
    <row r="531" spans="24:24">
      <c r="X531" s="183"/>
    </row>
    <row r="532" spans="24:24">
      <c r="X532" s="183"/>
    </row>
    <row r="533" spans="24:24" ht="15" customHeight="1">
      <c r="X533" s="183"/>
    </row>
    <row r="534" spans="24:24">
      <c r="X534" s="183"/>
    </row>
    <row r="535" spans="24:24" ht="15" customHeight="1">
      <c r="X535" s="183"/>
    </row>
    <row r="536" spans="24:24">
      <c r="X536" s="183"/>
    </row>
    <row r="537" spans="24:24">
      <c r="X537" s="183"/>
    </row>
    <row r="538" spans="24:24">
      <c r="X538" s="183"/>
    </row>
    <row r="539" spans="24:24">
      <c r="X539" s="183"/>
    </row>
    <row r="540" spans="24:24">
      <c r="X540" s="183"/>
    </row>
    <row r="541" spans="24:24">
      <c r="X541" s="183"/>
    </row>
    <row r="542" spans="24:24">
      <c r="X542" s="183"/>
    </row>
    <row r="543" spans="24:24">
      <c r="X543" s="183"/>
    </row>
    <row r="544" spans="24:24">
      <c r="X544" s="183"/>
    </row>
    <row r="545" spans="24:24">
      <c r="X545" s="183"/>
    </row>
    <row r="546" spans="24:24" ht="15" customHeight="1">
      <c r="X546" s="183"/>
    </row>
    <row r="547" spans="24:24" ht="15" customHeight="1">
      <c r="X547" s="183"/>
    </row>
    <row r="548" spans="24:24" ht="15" customHeight="1">
      <c r="X548" s="183"/>
    </row>
    <row r="549" spans="24:24" ht="15" customHeight="1">
      <c r="X549" s="183"/>
    </row>
    <row r="550" spans="24:24" ht="15" customHeight="1">
      <c r="X550" s="183"/>
    </row>
    <row r="551" spans="24:24" ht="15" customHeight="1">
      <c r="X551" s="183"/>
    </row>
    <row r="552" spans="24:24" ht="15" customHeight="1">
      <c r="X552" s="183"/>
    </row>
    <row r="553" spans="24:24" ht="15" customHeight="1">
      <c r="X553" s="183"/>
    </row>
    <row r="554" spans="24:24" ht="15" customHeight="1">
      <c r="X554" s="183"/>
    </row>
    <row r="555" spans="24:24" ht="15" customHeight="1">
      <c r="X555" s="183"/>
    </row>
    <row r="556" spans="24:24" ht="15" customHeight="1">
      <c r="X556" s="183"/>
    </row>
    <row r="557" spans="24:24" ht="15" customHeight="1">
      <c r="X557" s="183"/>
    </row>
    <row r="558" spans="24:24" ht="15" customHeight="1">
      <c r="X558" s="183"/>
    </row>
    <row r="559" spans="24:24" ht="15" customHeight="1">
      <c r="X559" s="183"/>
    </row>
    <row r="560" spans="24:24" ht="15" customHeight="1">
      <c r="X560" s="183"/>
    </row>
    <row r="561" spans="24:24" ht="15" customHeight="1">
      <c r="X561" s="183"/>
    </row>
    <row r="562" spans="24:24" ht="15" customHeight="1">
      <c r="X562" s="183"/>
    </row>
    <row r="563" spans="24:24" ht="15" customHeight="1">
      <c r="X563" s="183"/>
    </row>
    <row r="564" spans="24:24" ht="15" customHeight="1">
      <c r="X564" s="183"/>
    </row>
    <row r="565" spans="24:24" ht="15" customHeight="1">
      <c r="X565" s="183"/>
    </row>
    <row r="566" spans="24:24" ht="15" customHeight="1">
      <c r="X566" s="183"/>
    </row>
    <row r="567" spans="24:24" ht="15" customHeight="1">
      <c r="X567" s="183"/>
    </row>
    <row r="568" spans="24:24" ht="15" customHeight="1">
      <c r="X568" s="183"/>
    </row>
    <row r="569" spans="24:24" ht="15" customHeight="1">
      <c r="X569" s="183"/>
    </row>
    <row r="570" spans="24:24" ht="15" customHeight="1">
      <c r="X570" s="183"/>
    </row>
    <row r="571" spans="24:24" ht="15" customHeight="1">
      <c r="X571" s="183"/>
    </row>
    <row r="572" spans="24:24" ht="15" customHeight="1">
      <c r="X572" s="183"/>
    </row>
    <row r="573" spans="24:24" ht="15" customHeight="1">
      <c r="X573" s="183"/>
    </row>
    <row r="574" spans="24:24" ht="15" customHeight="1">
      <c r="X574" s="183"/>
    </row>
    <row r="575" spans="24:24" ht="15" customHeight="1">
      <c r="X575" s="183"/>
    </row>
    <row r="576" spans="24:24" ht="15" customHeight="1">
      <c r="X576" s="183"/>
    </row>
    <row r="577" spans="24:24" ht="15" customHeight="1">
      <c r="X577" s="183"/>
    </row>
    <row r="578" spans="24:24" ht="15" customHeight="1">
      <c r="X578" s="183"/>
    </row>
    <row r="579" spans="24:24" ht="15" customHeight="1">
      <c r="X579" s="183"/>
    </row>
    <row r="580" spans="24:24" ht="15" customHeight="1">
      <c r="X580" s="183"/>
    </row>
    <row r="581" spans="24:24" ht="15" customHeight="1">
      <c r="X581" s="183"/>
    </row>
    <row r="582" spans="24:24" ht="15" customHeight="1">
      <c r="X582" s="183"/>
    </row>
    <row r="583" spans="24:24">
      <c r="X583" s="183"/>
    </row>
    <row r="584" spans="24:24" ht="15" customHeight="1">
      <c r="X584" s="183"/>
    </row>
    <row r="585" spans="24:24" ht="15" customHeight="1">
      <c r="X585" s="183"/>
    </row>
    <row r="586" spans="24:24" ht="15" customHeight="1">
      <c r="X586" s="183"/>
    </row>
    <row r="587" spans="24:24" ht="15" customHeight="1">
      <c r="X587" s="183"/>
    </row>
    <row r="588" spans="24:24" ht="15" customHeight="1">
      <c r="X588" s="183"/>
    </row>
    <row r="589" spans="24:24" ht="15" customHeight="1">
      <c r="X589" s="183"/>
    </row>
    <row r="590" spans="24:24" ht="15" customHeight="1">
      <c r="X590" s="183"/>
    </row>
    <row r="591" spans="24:24" ht="15" customHeight="1">
      <c r="X591" s="183"/>
    </row>
    <row r="592" spans="24:24" ht="15" customHeight="1">
      <c r="X592" s="183"/>
    </row>
    <row r="593" spans="24:24" ht="15" customHeight="1">
      <c r="X593" s="183"/>
    </row>
    <row r="594" spans="24:24" ht="15" customHeight="1">
      <c r="X594" s="183"/>
    </row>
    <row r="595" spans="24:24" ht="15" customHeight="1">
      <c r="X595" s="183"/>
    </row>
    <row r="596" spans="24:24" ht="15" customHeight="1">
      <c r="X596" s="183"/>
    </row>
    <row r="597" spans="24:24" ht="15" customHeight="1">
      <c r="X597" s="183"/>
    </row>
    <row r="598" spans="24:24" ht="15" customHeight="1">
      <c r="X598" s="183"/>
    </row>
    <row r="599" spans="24:24" ht="15" customHeight="1">
      <c r="X599" s="183"/>
    </row>
    <row r="600" spans="24:24" ht="15" customHeight="1">
      <c r="X600" s="183"/>
    </row>
    <row r="601" spans="24:24" ht="15" customHeight="1">
      <c r="X601" s="183"/>
    </row>
    <row r="602" spans="24:24" ht="15" customHeight="1">
      <c r="X602" s="183"/>
    </row>
    <row r="603" spans="24:24" ht="15" customHeight="1">
      <c r="X603" s="183"/>
    </row>
    <row r="604" spans="24:24" ht="15" customHeight="1">
      <c r="X604" s="183"/>
    </row>
    <row r="605" spans="24:24" ht="15" customHeight="1">
      <c r="X605" s="183"/>
    </row>
    <row r="606" spans="24:24" ht="15" customHeight="1">
      <c r="X606" s="183"/>
    </row>
    <row r="607" spans="24:24" ht="15" customHeight="1">
      <c r="X607" s="183"/>
    </row>
    <row r="608" spans="24:24" ht="15" customHeight="1">
      <c r="X608" s="183"/>
    </row>
    <row r="609" spans="24:24" ht="15" customHeight="1">
      <c r="X609" s="183"/>
    </row>
    <row r="610" spans="24:24" ht="15" customHeight="1">
      <c r="X610" s="183"/>
    </row>
    <row r="611" spans="24:24" ht="15" customHeight="1">
      <c r="X611" s="183"/>
    </row>
    <row r="612" spans="24:24" ht="15" customHeight="1">
      <c r="X612" s="183"/>
    </row>
    <row r="613" spans="24:24" ht="15" customHeight="1">
      <c r="X613" s="183"/>
    </row>
    <row r="614" spans="24:24" ht="15" customHeight="1">
      <c r="X614" s="183"/>
    </row>
    <row r="615" spans="24:24" ht="15" customHeight="1">
      <c r="X615" s="183"/>
    </row>
    <row r="616" spans="24:24" ht="15" customHeight="1">
      <c r="X616" s="183"/>
    </row>
    <row r="617" spans="24:24" ht="15" customHeight="1">
      <c r="X617" s="183"/>
    </row>
    <row r="618" spans="24:24" ht="15" customHeight="1">
      <c r="X618" s="183"/>
    </row>
    <row r="619" spans="24:24" ht="15" customHeight="1">
      <c r="X619" s="183"/>
    </row>
    <row r="620" spans="24:24" ht="15" customHeight="1">
      <c r="X620" s="183"/>
    </row>
    <row r="621" spans="24:24" ht="15" customHeight="1">
      <c r="X621" s="183"/>
    </row>
    <row r="622" spans="24:24" ht="15" customHeight="1">
      <c r="X622" s="183"/>
    </row>
    <row r="623" spans="24:24" ht="15" customHeight="1">
      <c r="X623" s="183"/>
    </row>
    <row r="624" spans="24:24" ht="15" customHeight="1">
      <c r="X624" s="183"/>
    </row>
    <row r="625" spans="24:24" ht="15" customHeight="1">
      <c r="X625" s="183"/>
    </row>
    <row r="626" spans="24:24" ht="15" customHeight="1">
      <c r="X626" s="183"/>
    </row>
    <row r="627" spans="24:24" ht="15" customHeight="1">
      <c r="X627" s="183"/>
    </row>
    <row r="628" spans="24:24" ht="15" customHeight="1">
      <c r="X628" s="183"/>
    </row>
    <row r="629" spans="24:24" ht="15" customHeight="1">
      <c r="X629" s="183"/>
    </row>
    <row r="630" spans="24:24" ht="15" customHeight="1">
      <c r="X630" s="183"/>
    </row>
    <row r="631" spans="24:24" ht="15" customHeight="1">
      <c r="X631" s="183"/>
    </row>
    <row r="632" spans="24:24" ht="15" customHeight="1">
      <c r="X632" s="183"/>
    </row>
    <row r="633" spans="24:24" ht="15" customHeight="1">
      <c r="X633" s="183"/>
    </row>
    <row r="634" spans="24:24" ht="15" customHeight="1">
      <c r="X634" s="183"/>
    </row>
    <row r="635" spans="24:24" ht="15" customHeight="1">
      <c r="X635" s="183"/>
    </row>
    <row r="636" spans="24:24" ht="15" customHeight="1">
      <c r="X636" s="183"/>
    </row>
    <row r="637" spans="24:24" ht="15" customHeight="1">
      <c r="X637" s="183"/>
    </row>
    <row r="638" spans="24:24" ht="15" customHeight="1">
      <c r="X638" s="183"/>
    </row>
    <row r="639" spans="24:24" ht="15" customHeight="1">
      <c r="X639" s="183"/>
    </row>
    <row r="640" spans="24:24" ht="15" customHeight="1">
      <c r="X640" s="183"/>
    </row>
    <row r="641" spans="24:24" ht="15" customHeight="1">
      <c r="X641" s="183"/>
    </row>
    <row r="642" spans="24:24" ht="15" customHeight="1">
      <c r="X642" s="183"/>
    </row>
    <row r="643" spans="24:24" ht="15" customHeight="1">
      <c r="X643" s="183"/>
    </row>
    <row r="644" spans="24:24" ht="15" customHeight="1">
      <c r="X644" s="183"/>
    </row>
    <row r="645" spans="24:24" ht="15" customHeight="1">
      <c r="X645" s="183"/>
    </row>
    <row r="646" spans="24:24" ht="15" customHeight="1">
      <c r="X646" s="183"/>
    </row>
    <row r="647" spans="24:24" ht="15" customHeight="1">
      <c r="X647" s="183"/>
    </row>
    <row r="648" spans="24:24" ht="15" customHeight="1">
      <c r="X648" s="183"/>
    </row>
    <row r="649" spans="24:24" ht="15" customHeight="1">
      <c r="X649" s="183"/>
    </row>
    <row r="650" spans="24:24" ht="15" customHeight="1">
      <c r="X650" s="183"/>
    </row>
    <row r="651" spans="24:24" ht="15" customHeight="1">
      <c r="X651" s="183"/>
    </row>
    <row r="652" spans="24:24" ht="15" customHeight="1">
      <c r="X652" s="183"/>
    </row>
    <row r="653" spans="24:24" ht="15" customHeight="1">
      <c r="X653" s="183"/>
    </row>
    <row r="654" spans="24:24" ht="15" customHeight="1">
      <c r="X654" s="183"/>
    </row>
    <row r="655" spans="24:24" ht="15" customHeight="1">
      <c r="X655" s="183"/>
    </row>
    <row r="656" spans="24:24" ht="15" customHeight="1">
      <c r="X656" s="183"/>
    </row>
    <row r="657" spans="24:24" ht="15" customHeight="1">
      <c r="X657" s="183"/>
    </row>
    <row r="658" spans="24:24" ht="15" customHeight="1">
      <c r="X658" s="183"/>
    </row>
    <row r="659" spans="24:24" ht="15" customHeight="1">
      <c r="X659" s="183"/>
    </row>
    <row r="660" spans="24:24" ht="15" customHeight="1">
      <c r="X660" s="183"/>
    </row>
    <row r="661" spans="24:24" ht="15" customHeight="1">
      <c r="X661" s="183"/>
    </row>
    <row r="662" spans="24:24" ht="15" customHeight="1">
      <c r="X662" s="183"/>
    </row>
    <row r="663" spans="24:24" ht="15" customHeight="1">
      <c r="X663" s="183"/>
    </row>
    <row r="664" spans="24:24" ht="15" customHeight="1">
      <c r="X664" s="183"/>
    </row>
    <row r="665" spans="24:24" ht="15" customHeight="1">
      <c r="X665" s="183"/>
    </row>
    <row r="666" spans="24:24" ht="15" customHeight="1">
      <c r="X666" s="183"/>
    </row>
    <row r="667" spans="24:24" ht="15" customHeight="1">
      <c r="X667" s="183"/>
    </row>
    <row r="668" spans="24:24" ht="15" customHeight="1">
      <c r="X668" s="183"/>
    </row>
    <row r="669" spans="24:24" ht="15" customHeight="1">
      <c r="X669" s="183"/>
    </row>
    <row r="670" spans="24:24" ht="15" customHeight="1">
      <c r="X670" s="183"/>
    </row>
    <row r="671" spans="24:24" ht="15" customHeight="1">
      <c r="X671" s="183"/>
    </row>
    <row r="672" spans="24:24" ht="15" customHeight="1">
      <c r="X672" s="183"/>
    </row>
    <row r="673" spans="24:24" ht="15" customHeight="1">
      <c r="X673" s="183"/>
    </row>
    <row r="674" spans="24:24" ht="15" customHeight="1">
      <c r="X674" s="183"/>
    </row>
    <row r="675" spans="24:24" ht="15" customHeight="1">
      <c r="X675" s="183"/>
    </row>
    <row r="676" spans="24:24" ht="15" customHeight="1">
      <c r="X676" s="183"/>
    </row>
    <row r="677" spans="24:24" ht="15" customHeight="1">
      <c r="X677" s="183"/>
    </row>
    <row r="678" spans="24:24" ht="15" customHeight="1">
      <c r="X678" s="183"/>
    </row>
    <row r="679" spans="24:24" ht="15" customHeight="1">
      <c r="X679" s="183"/>
    </row>
    <row r="680" spans="24:24" ht="15" customHeight="1">
      <c r="X680" s="183"/>
    </row>
    <row r="681" spans="24:24" ht="15" customHeight="1">
      <c r="X681" s="183"/>
    </row>
    <row r="682" spans="24:24" ht="15" customHeight="1">
      <c r="X682" s="183"/>
    </row>
    <row r="683" spans="24:24" ht="15" customHeight="1">
      <c r="X683" s="183"/>
    </row>
    <row r="684" spans="24:24" ht="15" customHeight="1">
      <c r="X684" s="183"/>
    </row>
    <row r="685" spans="24:24" ht="15" customHeight="1">
      <c r="X685" s="183"/>
    </row>
    <row r="686" spans="24:24" ht="15" customHeight="1">
      <c r="X686" s="183"/>
    </row>
    <row r="687" spans="24:24" ht="15" customHeight="1">
      <c r="X687" s="183"/>
    </row>
    <row r="688" spans="24:24" ht="15" customHeight="1">
      <c r="X688" s="183"/>
    </row>
    <row r="689" spans="24:24" ht="15" customHeight="1">
      <c r="X689" s="183"/>
    </row>
    <row r="690" spans="24:24" ht="15" customHeight="1">
      <c r="X690" s="183"/>
    </row>
    <row r="691" spans="24:24" ht="15" customHeight="1">
      <c r="X691" s="183"/>
    </row>
    <row r="692" spans="24:24" ht="15" customHeight="1">
      <c r="X692" s="183"/>
    </row>
    <row r="693" spans="24:24" ht="15" customHeight="1">
      <c r="X693" s="183"/>
    </row>
    <row r="694" spans="24:24" ht="15" customHeight="1">
      <c r="X694" s="183"/>
    </row>
    <row r="695" spans="24:24" ht="15" customHeight="1">
      <c r="X695" s="183"/>
    </row>
    <row r="696" spans="24:24" ht="15" customHeight="1">
      <c r="X696" s="183"/>
    </row>
    <row r="697" spans="24:24" ht="15" customHeight="1">
      <c r="X697" s="183"/>
    </row>
    <row r="698" spans="24:24" ht="15" customHeight="1">
      <c r="X698" s="183"/>
    </row>
    <row r="699" spans="24:24" ht="15" customHeight="1">
      <c r="X699" s="183"/>
    </row>
    <row r="700" spans="24:24" ht="15" customHeight="1">
      <c r="X700" s="183"/>
    </row>
    <row r="701" spans="24:24" ht="15" customHeight="1">
      <c r="X701" s="183"/>
    </row>
    <row r="702" spans="24:24" ht="15" customHeight="1">
      <c r="X702" s="183"/>
    </row>
    <row r="703" spans="24:24" ht="15" customHeight="1">
      <c r="X703" s="183"/>
    </row>
    <row r="704" spans="24:24" ht="15" customHeight="1">
      <c r="X704" s="183"/>
    </row>
    <row r="705" spans="24:24" ht="15" customHeight="1">
      <c r="X705" s="183"/>
    </row>
    <row r="706" spans="24:24" ht="15" customHeight="1">
      <c r="X706" s="183"/>
    </row>
    <row r="707" spans="24:24" ht="15" customHeight="1">
      <c r="X707" s="183"/>
    </row>
    <row r="708" spans="24:24" ht="15" customHeight="1">
      <c r="X708" s="183"/>
    </row>
    <row r="709" spans="24:24" ht="15" customHeight="1">
      <c r="X709" s="183"/>
    </row>
    <row r="710" spans="24:24" ht="15" customHeight="1">
      <c r="X710" s="183"/>
    </row>
    <row r="711" spans="24:24" ht="15" customHeight="1">
      <c r="X711" s="183"/>
    </row>
    <row r="712" spans="24:24" ht="15" customHeight="1">
      <c r="X712" s="183"/>
    </row>
    <row r="713" spans="24:24" ht="15" customHeight="1">
      <c r="X713" s="183"/>
    </row>
    <row r="714" spans="24:24" ht="15" customHeight="1">
      <c r="X714" s="183"/>
    </row>
    <row r="715" spans="24:24" ht="15" customHeight="1">
      <c r="X715" s="183"/>
    </row>
    <row r="716" spans="24:24" ht="15" customHeight="1">
      <c r="X716" s="183"/>
    </row>
    <row r="717" spans="24:24" ht="15" customHeight="1">
      <c r="X717" s="183"/>
    </row>
    <row r="718" spans="24:24" ht="15" customHeight="1">
      <c r="X718" s="183"/>
    </row>
    <row r="719" spans="24:24" ht="15" customHeight="1">
      <c r="X719" s="183"/>
    </row>
    <row r="720" spans="24:24" ht="15" customHeight="1">
      <c r="X720" s="183"/>
    </row>
    <row r="721" spans="24:24" ht="15" customHeight="1">
      <c r="X721" s="183"/>
    </row>
    <row r="722" spans="24:24" ht="15" customHeight="1">
      <c r="X722" s="183"/>
    </row>
    <row r="723" spans="24:24" ht="15" customHeight="1">
      <c r="X723" s="183"/>
    </row>
    <row r="724" spans="24:24" ht="15" customHeight="1">
      <c r="X724" s="183"/>
    </row>
    <row r="725" spans="24:24" ht="15" customHeight="1">
      <c r="X725" s="183"/>
    </row>
    <row r="726" spans="24:24" ht="15" customHeight="1">
      <c r="X726" s="183"/>
    </row>
    <row r="727" spans="24:24" ht="15" customHeight="1">
      <c r="X727" s="183"/>
    </row>
    <row r="728" spans="24:24" ht="15" customHeight="1">
      <c r="X728" s="183"/>
    </row>
    <row r="729" spans="24:24" ht="15" customHeight="1">
      <c r="X729" s="183"/>
    </row>
    <row r="730" spans="24:24" ht="15" customHeight="1">
      <c r="X730" s="183"/>
    </row>
    <row r="731" spans="24:24" ht="15" customHeight="1">
      <c r="X731" s="183"/>
    </row>
    <row r="732" spans="24:24" ht="15" customHeight="1">
      <c r="X732" s="183"/>
    </row>
    <row r="733" spans="24:24" ht="15" customHeight="1">
      <c r="X733" s="183"/>
    </row>
    <row r="734" spans="24:24" ht="15" customHeight="1">
      <c r="X734" s="183"/>
    </row>
    <row r="735" spans="24:24" ht="15" customHeight="1">
      <c r="X735" s="183"/>
    </row>
    <row r="736" spans="24:24" ht="15" customHeight="1">
      <c r="X736" s="183"/>
    </row>
    <row r="737" spans="24:24" ht="15" customHeight="1">
      <c r="X737" s="183"/>
    </row>
    <row r="738" spans="24:24" ht="15" customHeight="1">
      <c r="X738" s="183"/>
    </row>
    <row r="739" spans="24:24" ht="15" customHeight="1">
      <c r="X739" s="183"/>
    </row>
    <row r="740" spans="24:24" ht="15" customHeight="1">
      <c r="X740" s="183"/>
    </row>
    <row r="741" spans="24:24" ht="15" customHeight="1">
      <c r="X741" s="183"/>
    </row>
    <row r="742" spans="24:24" ht="15" customHeight="1">
      <c r="X742" s="183"/>
    </row>
    <row r="743" spans="24:24" ht="15" customHeight="1">
      <c r="X743" s="183"/>
    </row>
    <row r="744" spans="24:24" ht="15" customHeight="1">
      <c r="X744" s="183"/>
    </row>
    <row r="745" spans="24:24" ht="15" customHeight="1">
      <c r="X745" s="183"/>
    </row>
    <row r="746" spans="24:24" ht="15" customHeight="1">
      <c r="X746" s="183"/>
    </row>
    <row r="747" spans="24:24" ht="15" customHeight="1">
      <c r="X747" s="183"/>
    </row>
    <row r="748" spans="24:24" ht="15" customHeight="1">
      <c r="X748" s="183"/>
    </row>
    <row r="749" spans="24:24" ht="15" customHeight="1">
      <c r="X749" s="183"/>
    </row>
    <row r="750" spans="24:24" ht="15" customHeight="1">
      <c r="X750" s="183"/>
    </row>
    <row r="751" spans="24:24" ht="15" customHeight="1">
      <c r="X751" s="183"/>
    </row>
    <row r="752" spans="24:24" ht="15" customHeight="1">
      <c r="X752" s="183"/>
    </row>
    <row r="753" spans="24:24" ht="15" customHeight="1">
      <c r="X753" s="183"/>
    </row>
    <row r="754" spans="24:24" ht="15" customHeight="1">
      <c r="X754" s="183"/>
    </row>
    <row r="755" spans="24:24" ht="15" customHeight="1">
      <c r="X755" s="183"/>
    </row>
    <row r="756" spans="24:24" ht="15" customHeight="1">
      <c r="X756" s="183"/>
    </row>
    <row r="757" spans="24:24" ht="15" customHeight="1">
      <c r="X757" s="183"/>
    </row>
    <row r="758" spans="24:24" ht="15" customHeight="1">
      <c r="X758" s="183"/>
    </row>
    <row r="759" spans="24:24" ht="15" customHeight="1">
      <c r="X759" s="183"/>
    </row>
    <row r="760" spans="24:24" ht="15" customHeight="1">
      <c r="X760" s="183"/>
    </row>
    <row r="761" spans="24:24" ht="15" customHeight="1">
      <c r="X761" s="183"/>
    </row>
    <row r="762" spans="24:24" ht="15" customHeight="1">
      <c r="X762" s="183"/>
    </row>
    <row r="763" spans="24:24" ht="15" customHeight="1">
      <c r="X763" s="183"/>
    </row>
    <row r="764" spans="24:24" ht="15" customHeight="1">
      <c r="X764" s="183"/>
    </row>
    <row r="765" spans="24:24" ht="15" customHeight="1">
      <c r="X765" s="183"/>
    </row>
    <row r="766" spans="24:24" ht="15" customHeight="1">
      <c r="X766" s="183"/>
    </row>
    <row r="767" spans="24:24" ht="15" customHeight="1">
      <c r="X767" s="183"/>
    </row>
    <row r="768" spans="24:24" ht="15" customHeight="1">
      <c r="X768" s="183"/>
    </row>
    <row r="769" spans="24:24" ht="15" customHeight="1">
      <c r="X769" s="183"/>
    </row>
    <row r="770" spans="24:24" ht="15" customHeight="1">
      <c r="X770" s="183"/>
    </row>
    <row r="771" spans="24:24" ht="15" customHeight="1">
      <c r="X771" s="183"/>
    </row>
    <row r="772" spans="24:24" ht="15" customHeight="1">
      <c r="X772" s="183"/>
    </row>
    <row r="773" spans="24:24" ht="15" customHeight="1">
      <c r="X773" s="183"/>
    </row>
    <row r="774" spans="24:24" ht="15" customHeight="1">
      <c r="X774" s="183"/>
    </row>
    <row r="775" spans="24:24" ht="15" customHeight="1">
      <c r="X775" s="183"/>
    </row>
    <row r="776" spans="24:24" ht="15" customHeight="1">
      <c r="X776" s="183"/>
    </row>
    <row r="777" spans="24:24" ht="15" customHeight="1">
      <c r="X777" s="183"/>
    </row>
    <row r="778" spans="24:24" ht="15" customHeight="1">
      <c r="X778" s="183"/>
    </row>
    <row r="779" spans="24:24" ht="15" customHeight="1">
      <c r="X779" s="183"/>
    </row>
    <row r="780" spans="24:24" ht="15" customHeight="1">
      <c r="X780" s="183"/>
    </row>
    <row r="781" spans="24:24" ht="15" customHeight="1">
      <c r="X781" s="183"/>
    </row>
    <row r="782" spans="24:24" ht="15" customHeight="1">
      <c r="X782" s="183"/>
    </row>
    <row r="783" spans="24:24" ht="15" customHeight="1">
      <c r="X783" s="183"/>
    </row>
    <row r="784" spans="24:24" ht="15" customHeight="1">
      <c r="X784" s="183"/>
    </row>
    <row r="785" spans="24:24" ht="15" customHeight="1">
      <c r="X785" s="183"/>
    </row>
    <row r="786" spans="24:24" ht="15" customHeight="1">
      <c r="X786" s="183"/>
    </row>
    <row r="787" spans="24:24" ht="15" customHeight="1">
      <c r="X787" s="183"/>
    </row>
    <row r="788" spans="24:24" ht="15" customHeight="1">
      <c r="X788" s="183"/>
    </row>
    <row r="789" spans="24:24" ht="15" customHeight="1">
      <c r="X789" s="183"/>
    </row>
    <row r="790" spans="24:24" ht="15" customHeight="1">
      <c r="X790" s="183"/>
    </row>
    <row r="791" spans="24:24" ht="15" customHeight="1">
      <c r="X791" s="183"/>
    </row>
    <row r="792" spans="24:24" ht="15" customHeight="1">
      <c r="X792" s="183"/>
    </row>
    <row r="793" spans="24:24" ht="15" customHeight="1">
      <c r="X793" s="183"/>
    </row>
    <row r="794" spans="24:24" ht="15" customHeight="1">
      <c r="X794" s="183"/>
    </row>
    <row r="795" spans="24:24" ht="15" customHeight="1">
      <c r="X795" s="183"/>
    </row>
    <row r="796" spans="24:24" ht="15" customHeight="1">
      <c r="X796" s="183"/>
    </row>
    <row r="797" spans="24:24" ht="15" customHeight="1">
      <c r="X797" s="183"/>
    </row>
    <row r="798" spans="24:24" ht="15" customHeight="1">
      <c r="X798" s="183"/>
    </row>
    <row r="799" spans="24:24" ht="15" customHeight="1">
      <c r="X799" s="183"/>
    </row>
    <row r="800" spans="24:24" ht="15" customHeight="1">
      <c r="X800" s="183"/>
    </row>
    <row r="801" spans="24:24" ht="15" customHeight="1">
      <c r="X801" s="183"/>
    </row>
    <row r="802" spans="24:24" ht="15" customHeight="1">
      <c r="X802" s="183"/>
    </row>
    <row r="803" spans="24:24" ht="15" customHeight="1">
      <c r="X803" s="183"/>
    </row>
    <row r="804" spans="24:24" ht="15" customHeight="1">
      <c r="X804" s="183"/>
    </row>
    <row r="805" spans="24:24" ht="15" customHeight="1">
      <c r="X805" s="183"/>
    </row>
    <row r="806" spans="24:24" ht="15" customHeight="1">
      <c r="X806" s="183"/>
    </row>
    <row r="807" spans="24:24" ht="15" customHeight="1">
      <c r="X807" s="183"/>
    </row>
    <row r="808" spans="24:24" ht="15" customHeight="1">
      <c r="X808" s="183"/>
    </row>
    <row r="809" spans="24:24" ht="15" customHeight="1">
      <c r="X809" s="183"/>
    </row>
    <row r="810" spans="24:24" ht="15" customHeight="1">
      <c r="X810" s="183"/>
    </row>
    <row r="811" spans="24:24" ht="15" customHeight="1">
      <c r="X811" s="183"/>
    </row>
    <row r="812" spans="24:24" ht="15" customHeight="1">
      <c r="X812" s="183"/>
    </row>
    <row r="813" spans="24:24" ht="15" customHeight="1">
      <c r="X813" s="183"/>
    </row>
    <row r="814" spans="24:24" ht="15" customHeight="1">
      <c r="X814" s="183"/>
    </row>
    <row r="815" spans="24:24" ht="15" customHeight="1">
      <c r="X815" s="183"/>
    </row>
    <row r="816" spans="24:24" ht="15" customHeight="1">
      <c r="X816" s="183"/>
    </row>
    <row r="817" spans="24:24" ht="15" customHeight="1">
      <c r="X817" s="183"/>
    </row>
    <row r="818" spans="24:24" ht="15" customHeight="1">
      <c r="X818" s="183"/>
    </row>
    <row r="819" spans="24:24" ht="15" customHeight="1">
      <c r="X819" s="183"/>
    </row>
    <row r="820" spans="24:24" ht="15" customHeight="1">
      <c r="X820" s="183"/>
    </row>
    <row r="821" spans="24:24" ht="15" customHeight="1">
      <c r="X821" s="183"/>
    </row>
    <row r="822" spans="24:24" ht="15" customHeight="1">
      <c r="X822" s="183"/>
    </row>
    <row r="823" spans="24:24" ht="15" customHeight="1">
      <c r="X823" s="183"/>
    </row>
    <row r="824" spans="24:24" ht="15" customHeight="1">
      <c r="X824" s="183"/>
    </row>
    <row r="825" spans="24:24" ht="15" customHeight="1">
      <c r="X825" s="183"/>
    </row>
    <row r="826" spans="24:24" ht="15" customHeight="1">
      <c r="X826" s="183"/>
    </row>
    <row r="827" spans="24:24" ht="15" customHeight="1">
      <c r="X827" s="183"/>
    </row>
    <row r="828" spans="24:24" ht="15" customHeight="1">
      <c r="X828" s="183"/>
    </row>
    <row r="829" spans="24:24" ht="15" customHeight="1">
      <c r="X829" s="183"/>
    </row>
    <row r="830" spans="24:24" ht="15" customHeight="1">
      <c r="X830" s="183"/>
    </row>
    <row r="831" spans="24:24" ht="15" customHeight="1">
      <c r="X831" s="183"/>
    </row>
    <row r="832" spans="24:24" ht="15" customHeight="1">
      <c r="X832" s="183"/>
    </row>
    <row r="833" spans="24:24" ht="15" customHeight="1">
      <c r="X833" s="183"/>
    </row>
    <row r="834" spans="24:24" ht="15" customHeight="1">
      <c r="X834" s="183"/>
    </row>
    <row r="835" spans="24:24" ht="15" customHeight="1">
      <c r="X835" s="183"/>
    </row>
    <row r="836" spans="24:24" ht="15" customHeight="1">
      <c r="X836" s="183"/>
    </row>
    <row r="837" spans="24:24" ht="15" customHeight="1">
      <c r="X837" s="183"/>
    </row>
    <row r="838" spans="24:24" ht="15" customHeight="1">
      <c r="X838" s="183"/>
    </row>
    <row r="839" spans="24:24" ht="15" customHeight="1">
      <c r="X839" s="183"/>
    </row>
    <row r="840" spans="24:24" ht="15" customHeight="1">
      <c r="X840" s="183"/>
    </row>
    <row r="841" spans="24:24" ht="15" customHeight="1">
      <c r="X841" s="183"/>
    </row>
    <row r="842" spans="24:24" ht="15" customHeight="1">
      <c r="X842" s="183"/>
    </row>
    <row r="843" spans="24:24" ht="15" customHeight="1">
      <c r="X843" s="183"/>
    </row>
    <row r="844" spans="24:24" ht="15" customHeight="1">
      <c r="X844" s="183"/>
    </row>
    <row r="845" spans="24:24" ht="15" customHeight="1">
      <c r="X845" s="183"/>
    </row>
    <row r="846" spans="24:24" ht="15.75" customHeight="1"/>
    <row r="847" spans="24:24" ht="15.75" customHeight="1"/>
    <row r="848" spans="24:24" ht="15.75" customHeight="1"/>
    <row r="849" spans="24:24" ht="15" customHeight="1">
      <c r="X849" s="183"/>
    </row>
    <row r="850" spans="24:24" ht="15" customHeight="1">
      <c r="X850" s="183"/>
    </row>
    <row r="851" spans="24:24" ht="14.25" customHeight="1">
      <c r="X851" s="183"/>
    </row>
  </sheetData>
  <autoFilter ref="A4:U4" xr:uid="{00000000-0009-0000-0000-000004000000}"/>
  <mergeCells count="1">
    <mergeCell ref="G3:H3"/>
  </mergeCells>
  <pageMargins left="0" right="0" top="0.5" bottom="0.75" header="0.3" footer="0.3"/>
  <pageSetup scale="59" fitToHeight="0" orientation="landscape" r:id="rId1"/>
  <headerFooter>
    <oddHeader>&amp;LTucson Electric Power&amp;C&amp;A&amp;R&amp;P of &amp;N</oddHeader>
    <oddFooter>&amp;Z&amp;F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2833E-BFFD-415F-A6B2-0A6F9D3BECAB}">
  <dimension ref="A3:A258"/>
  <sheetViews>
    <sheetView workbookViewId="0">
      <selection activeCell="W43" sqref="W43"/>
    </sheetView>
  </sheetViews>
  <sheetFormatPr defaultColWidth="9.140625" defaultRowHeight="12.75"/>
  <cols>
    <col min="1" max="1" width="37.7109375" style="15" bestFit="1" customWidth="1"/>
    <col min="2" max="16384" width="9.140625" style="15"/>
  </cols>
  <sheetData>
    <row r="3" spans="1:1">
      <c r="A3" s="168" t="s">
        <v>79</v>
      </c>
    </row>
    <row r="4" spans="1:1">
      <c r="A4" s="166">
        <v>317</v>
      </c>
    </row>
    <row r="5" spans="1:1">
      <c r="A5" s="167" t="s">
        <v>643</v>
      </c>
    </row>
    <row r="6" spans="1:1">
      <c r="A6" s="166">
        <v>347</v>
      </c>
    </row>
    <row r="7" spans="1:1">
      <c r="A7" s="167" t="s">
        <v>642</v>
      </c>
    </row>
    <row r="8" spans="1:1">
      <c r="A8" s="166">
        <v>359.1</v>
      </c>
    </row>
    <row r="9" spans="1:1">
      <c r="A9" s="167" t="s">
        <v>647</v>
      </c>
    </row>
    <row r="10" spans="1:1">
      <c r="A10" s="166">
        <v>374</v>
      </c>
    </row>
    <row r="11" spans="1:1">
      <c r="A11" s="167" t="s">
        <v>641</v>
      </c>
    </row>
    <row r="12" spans="1:1">
      <c r="A12" s="166">
        <v>399.1</v>
      </c>
    </row>
    <row r="13" spans="1:1">
      <c r="A13" s="167" t="s">
        <v>640</v>
      </c>
    </row>
    <row r="14" spans="1:1">
      <c r="A14" s="166" t="s">
        <v>108</v>
      </c>
    </row>
    <row r="15" spans="1:1">
      <c r="A15" s="167" t="s">
        <v>435</v>
      </c>
    </row>
    <row r="16" spans="1:1">
      <c r="A16" s="167" t="s">
        <v>436</v>
      </c>
    </row>
    <row r="17" spans="1:1">
      <c r="A17" s="167" t="s">
        <v>437</v>
      </c>
    </row>
    <row r="18" spans="1:1">
      <c r="A18" s="167" t="s">
        <v>438</v>
      </c>
    </row>
    <row r="19" spans="1:1">
      <c r="A19" s="167" t="s">
        <v>439</v>
      </c>
    </row>
    <row r="20" spans="1:1">
      <c r="A20" s="167" t="s">
        <v>440</v>
      </c>
    </row>
    <row r="21" spans="1:1">
      <c r="A21" s="167" t="s">
        <v>441</v>
      </c>
    </row>
    <row r="22" spans="1:1">
      <c r="A22" s="167" t="s">
        <v>442</v>
      </c>
    </row>
    <row r="23" spans="1:1">
      <c r="A23" s="167" t="s">
        <v>443</v>
      </c>
    </row>
    <row r="24" spans="1:1">
      <c r="A24" s="167" t="s">
        <v>444</v>
      </c>
    </row>
    <row r="25" spans="1:1">
      <c r="A25" s="167" t="s">
        <v>445</v>
      </c>
    </row>
    <row r="26" spans="1:1">
      <c r="A26" s="167" t="s">
        <v>446</v>
      </c>
    </row>
    <row r="27" spans="1:1">
      <c r="A27" s="166" t="s">
        <v>152</v>
      </c>
    </row>
    <row r="28" spans="1:1">
      <c r="A28" s="167" t="s">
        <v>447</v>
      </c>
    </row>
    <row r="29" spans="1:1">
      <c r="A29" s="167" t="s">
        <v>448</v>
      </c>
    </row>
    <row r="30" spans="1:1">
      <c r="A30" s="167" t="s">
        <v>449</v>
      </c>
    </row>
    <row r="31" spans="1:1">
      <c r="A31" s="167" t="s">
        <v>450</v>
      </c>
    </row>
    <row r="32" spans="1:1">
      <c r="A32" s="167" t="s">
        <v>451</v>
      </c>
    </row>
    <row r="33" spans="1:1">
      <c r="A33" s="167" t="s">
        <v>452</v>
      </c>
    </row>
    <row r="34" spans="1:1">
      <c r="A34" s="166" t="s">
        <v>110</v>
      </c>
    </row>
    <row r="35" spans="1:1">
      <c r="A35" s="167" t="s">
        <v>453</v>
      </c>
    </row>
    <row r="36" spans="1:1">
      <c r="A36" s="167" t="s">
        <v>454</v>
      </c>
    </row>
    <row r="37" spans="1:1">
      <c r="A37" s="167" t="s">
        <v>455</v>
      </c>
    </row>
    <row r="38" spans="1:1">
      <c r="A38" s="167" t="s">
        <v>456</v>
      </c>
    </row>
    <row r="39" spans="1:1">
      <c r="A39" s="167" t="s">
        <v>457</v>
      </c>
    </row>
    <row r="40" spans="1:1">
      <c r="A40" s="167" t="s">
        <v>458</v>
      </c>
    </row>
    <row r="41" spans="1:1">
      <c r="A41" s="167" t="s">
        <v>459</v>
      </c>
    </row>
    <row r="42" spans="1:1">
      <c r="A42" s="167" t="s">
        <v>460</v>
      </c>
    </row>
    <row r="43" spans="1:1">
      <c r="A43" s="166" t="s">
        <v>153</v>
      </c>
    </row>
    <row r="44" spans="1:1">
      <c r="A44" s="167" t="s">
        <v>461</v>
      </c>
    </row>
    <row r="45" spans="1:1">
      <c r="A45" s="167" t="s">
        <v>462</v>
      </c>
    </row>
    <row r="46" spans="1:1">
      <c r="A46" s="167" t="s">
        <v>463</v>
      </c>
    </row>
    <row r="47" spans="1:1">
      <c r="A47" s="167" t="s">
        <v>464</v>
      </c>
    </row>
    <row r="48" spans="1:1">
      <c r="A48" s="166" t="s">
        <v>111</v>
      </c>
    </row>
    <row r="49" spans="1:1">
      <c r="A49" s="167" t="s">
        <v>465</v>
      </c>
    </row>
    <row r="50" spans="1:1">
      <c r="A50" s="167" t="s">
        <v>466</v>
      </c>
    </row>
    <row r="51" spans="1:1">
      <c r="A51" s="167" t="s">
        <v>467</v>
      </c>
    </row>
    <row r="52" spans="1:1">
      <c r="A52" s="167" t="s">
        <v>468</v>
      </c>
    </row>
    <row r="53" spans="1:1">
      <c r="A53" s="167" t="s">
        <v>469</v>
      </c>
    </row>
    <row r="54" spans="1:1">
      <c r="A54" s="167" t="s">
        <v>470</v>
      </c>
    </row>
    <row r="55" spans="1:1">
      <c r="A55" s="167" t="s">
        <v>471</v>
      </c>
    </row>
    <row r="56" spans="1:1">
      <c r="A56" s="166" t="s">
        <v>112</v>
      </c>
    </row>
    <row r="57" spans="1:1">
      <c r="A57" s="167" t="s">
        <v>472</v>
      </c>
    </row>
    <row r="58" spans="1:1">
      <c r="A58" s="167" t="s">
        <v>473</v>
      </c>
    </row>
    <row r="59" spans="1:1">
      <c r="A59" s="167" t="s">
        <v>474</v>
      </c>
    </row>
    <row r="60" spans="1:1">
      <c r="A60" s="167" t="s">
        <v>475</v>
      </c>
    </row>
    <row r="61" spans="1:1">
      <c r="A61" s="167" t="s">
        <v>476</v>
      </c>
    </row>
    <row r="62" spans="1:1">
      <c r="A62" s="167" t="s">
        <v>477</v>
      </c>
    </row>
    <row r="63" spans="1:1">
      <c r="A63" s="167" t="s">
        <v>478</v>
      </c>
    </row>
    <row r="64" spans="1:1">
      <c r="A64" s="167" t="s">
        <v>479</v>
      </c>
    </row>
    <row r="65" spans="1:1">
      <c r="A65" s="167" t="s">
        <v>480</v>
      </c>
    </row>
    <row r="66" spans="1:1">
      <c r="A66" s="166" t="s">
        <v>113</v>
      </c>
    </row>
    <row r="67" spans="1:1">
      <c r="A67" s="167" t="s">
        <v>481</v>
      </c>
    </row>
    <row r="68" spans="1:1">
      <c r="A68" s="167" t="s">
        <v>482</v>
      </c>
    </row>
    <row r="69" spans="1:1">
      <c r="A69" s="167" t="s">
        <v>483</v>
      </c>
    </row>
    <row r="70" spans="1:1">
      <c r="A70" s="167" t="s">
        <v>484</v>
      </c>
    </row>
    <row r="71" spans="1:1">
      <c r="A71" s="167" t="s">
        <v>485</v>
      </c>
    </row>
    <row r="72" spans="1:1">
      <c r="A72" s="166" t="s">
        <v>154</v>
      </c>
    </row>
    <row r="73" spans="1:1">
      <c r="A73" s="167" t="s">
        <v>486</v>
      </c>
    </row>
    <row r="74" spans="1:1">
      <c r="A74" s="167" t="s">
        <v>487</v>
      </c>
    </row>
    <row r="75" spans="1:1">
      <c r="A75" s="167" t="s">
        <v>488</v>
      </c>
    </row>
    <row r="76" spans="1:1">
      <c r="A76" s="167" t="s">
        <v>489</v>
      </c>
    </row>
    <row r="77" spans="1:1">
      <c r="A77" s="167" t="s">
        <v>490</v>
      </c>
    </row>
    <row r="78" spans="1:1">
      <c r="A78" s="167" t="s">
        <v>491</v>
      </c>
    </row>
    <row r="79" spans="1:1">
      <c r="A79" s="166" t="s">
        <v>143</v>
      </c>
    </row>
    <row r="80" spans="1:1">
      <c r="A80" s="167" t="s">
        <v>492</v>
      </c>
    </row>
    <row r="81" spans="1:1">
      <c r="A81" s="167" t="s">
        <v>493</v>
      </c>
    </row>
    <row r="82" spans="1:1">
      <c r="A82" s="167" t="s">
        <v>494</v>
      </c>
    </row>
    <row r="83" spans="1:1">
      <c r="A83" s="167" t="s">
        <v>495</v>
      </c>
    </row>
    <row r="84" spans="1:1">
      <c r="A84" s="167" t="s">
        <v>496</v>
      </c>
    </row>
    <row r="85" spans="1:1">
      <c r="A85" s="167" t="s">
        <v>497</v>
      </c>
    </row>
    <row r="86" spans="1:1">
      <c r="A86" s="167" t="s">
        <v>498</v>
      </c>
    </row>
    <row r="87" spans="1:1">
      <c r="A87" s="167" t="s">
        <v>499</v>
      </c>
    </row>
    <row r="88" spans="1:1">
      <c r="A88" s="167" t="s">
        <v>500</v>
      </c>
    </row>
    <row r="89" spans="1:1">
      <c r="A89" s="166" t="s">
        <v>114</v>
      </c>
    </row>
    <row r="90" spans="1:1">
      <c r="A90" s="167" t="s">
        <v>501</v>
      </c>
    </row>
    <row r="91" spans="1:1">
      <c r="A91" s="167" t="s">
        <v>502</v>
      </c>
    </row>
    <row r="92" spans="1:1">
      <c r="A92" s="167" t="s">
        <v>503</v>
      </c>
    </row>
    <row r="93" spans="1:1">
      <c r="A93" s="167" t="s">
        <v>504</v>
      </c>
    </row>
    <row r="94" spans="1:1">
      <c r="A94" s="167" t="s">
        <v>505</v>
      </c>
    </row>
    <row r="95" spans="1:1">
      <c r="A95" s="166" t="s">
        <v>115</v>
      </c>
    </row>
    <row r="96" spans="1:1">
      <c r="A96" s="167" t="s">
        <v>506</v>
      </c>
    </row>
    <row r="97" spans="1:1">
      <c r="A97" s="167" t="s">
        <v>507</v>
      </c>
    </row>
    <row r="98" spans="1:1">
      <c r="A98" s="167" t="s">
        <v>508</v>
      </c>
    </row>
    <row r="99" spans="1:1">
      <c r="A99" s="167" t="s">
        <v>509</v>
      </c>
    </row>
    <row r="100" spans="1:1">
      <c r="A100" s="167" t="s">
        <v>510</v>
      </c>
    </row>
    <row r="101" spans="1:1">
      <c r="A101" s="166" t="s">
        <v>144</v>
      </c>
    </row>
    <row r="102" spans="1:1">
      <c r="A102" s="167" t="s">
        <v>511</v>
      </c>
    </row>
    <row r="103" spans="1:1">
      <c r="A103" s="166" t="s">
        <v>116</v>
      </c>
    </row>
    <row r="104" spans="1:1">
      <c r="A104" s="167" t="s">
        <v>512</v>
      </c>
    </row>
    <row r="105" spans="1:1">
      <c r="A105" s="167" t="s">
        <v>513</v>
      </c>
    </row>
    <row r="106" spans="1:1">
      <c r="A106" s="167" t="s">
        <v>514</v>
      </c>
    </row>
    <row r="107" spans="1:1">
      <c r="A107" s="166" t="s">
        <v>117</v>
      </c>
    </row>
    <row r="108" spans="1:1">
      <c r="A108" s="167" t="s">
        <v>515</v>
      </c>
    </row>
    <row r="109" spans="1:1">
      <c r="A109" s="167" t="s">
        <v>516</v>
      </c>
    </row>
    <row r="110" spans="1:1">
      <c r="A110" s="167" t="s">
        <v>517</v>
      </c>
    </row>
    <row r="111" spans="1:1">
      <c r="A111" s="166" t="s">
        <v>646</v>
      </c>
    </row>
    <row r="112" spans="1:1">
      <c r="A112" s="167" t="s">
        <v>518</v>
      </c>
    </row>
    <row r="113" spans="1:1">
      <c r="A113" s="166" t="s">
        <v>145</v>
      </c>
    </row>
    <row r="114" spans="1:1">
      <c r="A114" s="167" t="s">
        <v>519</v>
      </c>
    </row>
    <row r="115" spans="1:1">
      <c r="A115" s="167" t="s">
        <v>520</v>
      </c>
    </row>
    <row r="116" spans="1:1">
      <c r="A116" s="166" t="s">
        <v>118</v>
      </c>
    </row>
    <row r="117" spans="1:1">
      <c r="A117" s="167" t="s">
        <v>521</v>
      </c>
    </row>
    <row r="118" spans="1:1">
      <c r="A118" s="167" t="s">
        <v>522</v>
      </c>
    </row>
    <row r="119" spans="1:1">
      <c r="A119" s="167" t="s">
        <v>523</v>
      </c>
    </row>
    <row r="120" spans="1:1">
      <c r="A120" s="167" t="s">
        <v>524</v>
      </c>
    </row>
    <row r="121" spans="1:1">
      <c r="A121" s="167" t="s">
        <v>525</v>
      </c>
    </row>
    <row r="122" spans="1:1">
      <c r="A122" s="167" t="s">
        <v>526</v>
      </c>
    </row>
    <row r="123" spans="1:1">
      <c r="A123" s="166" t="s">
        <v>155</v>
      </c>
    </row>
    <row r="124" spans="1:1">
      <c r="A124" s="167" t="s">
        <v>527</v>
      </c>
    </row>
    <row r="125" spans="1:1">
      <c r="A125" s="166" t="s">
        <v>119</v>
      </c>
    </row>
    <row r="126" spans="1:1">
      <c r="A126" s="167" t="s">
        <v>528</v>
      </c>
    </row>
    <row r="127" spans="1:1">
      <c r="A127" s="167" t="s">
        <v>529</v>
      </c>
    </row>
    <row r="128" spans="1:1">
      <c r="A128" s="166" t="s">
        <v>120</v>
      </c>
    </row>
    <row r="129" spans="1:1">
      <c r="A129" s="167" t="s">
        <v>530</v>
      </c>
    </row>
    <row r="130" spans="1:1">
      <c r="A130" s="166" t="s">
        <v>121</v>
      </c>
    </row>
    <row r="131" spans="1:1">
      <c r="A131" s="167" t="s">
        <v>531</v>
      </c>
    </row>
    <row r="132" spans="1:1">
      <c r="A132" s="166" t="s">
        <v>122</v>
      </c>
    </row>
    <row r="133" spans="1:1">
      <c r="A133" s="167" t="s">
        <v>532</v>
      </c>
    </row>
    <row r="134" spans="1:1">
      <c r="A134" s="166" t="s">
        <v>123</v>
      </c>
    </row>
    <row r="135" spans="1:1">
      <c r="A135" s="167" t="s">
        <v>533</v>
      </c>
    </row>
    <row r="136" spans="1:1">
      <c r="A136" s="166" t="s">
        <v>124</v>
      </c>
    </row>
    <row r="137" spans="1:1">
      <c r="A137" s="167" t="s">
        <v>534</v>
      </c>
    </row>
    <row r="138" spans="1:1">
      <c r="A138" s="167" t="s">
        <v>535</v>
      </c>
    </row>
    <row r="139" spans="1:1">
      <c r="A139" s="166" t="s">
        <v>125</v>
      </c>
    </row>
    <row r="140" spans="1:1">
      <c r="A140" s="167" t="s">
        <v>536</v>
      </c>
    </row>
    <row r="141" spans="1:1">
      <c r="A141" s="167" t="s">
        <v>537</v>
      </c>
    </row>
    <row r="142" spans="1:1">
      <c r="A142" s="166" t="s">
        <v>127</v>
      </c>
    </row>
    <row r="143" spans="1:1">
      <c r="A143" s="167" t="s">
        <v>538</v>
      </c>
    </row>
    <row r="144" spans="1:1">
      <c r="A144" s="166" t="s">
        <v>128</v>
      </c>
    </row>
    <row r="145" spans="1:1">
      <c r="A145" s="167" t="s">
        <v>539</v>
      </c>
    </row>
    <row r="146" spans="1:1">
      <c r="A146" s="166" t="s">
        <v>645</v>
      </c>
    </row>
    <row r="147" spans="1:1">
      <c r="A147" s="167" t="s">
        <v>540</v>
      </c>
    </row>
    <row r="148" spans="1:1">
      <c r="A148" s="167" t="s">
        <v>541</v>
      </c>
    </row>
    <row r="149" spans="1:1">
      <c r="A149" s="167" t="s">
        <v>542</v>
      </c>
    </row>
    <row r="150" spans="1:1">
      <c r="A150" s="167" t="s">
        <v>543</v>
      </c>
    </row>
    <row r="151" spans="1:1">
      <c r="A151" s="167" t="s">
        <v>544</v>
      </c>
    </row>
    <row r="152" spans="1:1">
      <c r="A152" s="166" t="s">
        <v>107</v>
      </c>
    </row>
    <row r="153" spans="1:1">
      <c r="A153" s="167" t="s">
        <v>545</v>
      </c>
    </row>
    <row r="154" spans="1:1">
      <c r="A154" s="167" t="s">
        <v>546</v>
      </c>
    </row>
    <row r="155" spans="1:1">
      <c r="A155" s="167" t="s">
        <v>547</v>
      </c>
    </row>
    <row r="156" spans="1:1">
      <c r="A156" s="167" t="s">
        <v>548</v>
      </c>
    </row>
    <row r="157" spans="1:1">
      <c r="A157" s="167" t="s">
        <v>549</v>
      </c>
    </row>
    <row r="158" spans="1:1">
      <c r="A158" s="167" t="s">
        <v>550</v>
      </c>
    </row>
    <row r="159" spans="1:1">
      <c r="A159" s="167" t="s">
        <v>551</v>
      </c>
    </row>
    <row r="160" spans="1:1">
      <c r="A160" s="167" t="s">
        <v>552</v>
      </c>
    </row>
    <row r="161" spans="1:1">
      <c r="A161" s="167" t="s">
        <v>553</v>
      </c>
    </row>
    <row r="162" spans="1:1">
      <c r="A162" s="167" t="s">
        <v>554</v>
      </c>
    </row>
    <row r="163" spans="1:1">
      <c r="A163" s="167" t="s">
        <v>555</v>
      </c>
    </row>
    <row r="164" spans="1:1">
      <c r="A164" s="167" t="s">
        <v>556</v>
      </c>
    </row>
    <row r="165" spans="1:1">
      <c r="A165" s="167" t="s">
        <v>557</v>
      </c>
    </row>
    <row r="166" spans="1:1">
      <c r="A166" s="167" t="s">
        <v>558</v>
      </c>
    </row>
    <row r="167" spans="1:1">
      <c r="A167" s="167" t="s">
        <v>559</v>
      </c>
    </row>
    <row r="168" spans="1:1">
      <c r="A168" s="167" t="s">
        <v>560</v>
      </c>
    </row>
    <row r="169" spans="1:1">
      <c r="A169" s="167" t="s">
        <v>561</v>
      </c>
    </row>
    <row r="170" spans="1:1">
      <c r="A170" s="167" t="s">
        <v>562</v>
      </c>
    </row>
    <row r="171" spans="1:1">
      <c r="A171" s="167" t="s">
        <v>563</v>
      </c>
    </row>
    <row r="172" spans="1:1">
      <c r="A172" s="167" t="s">
        <v>564</v>
      </c>
    </row>
    <row r="173" spans="1:1">
      <c r="A173" s="167" t="s">
        <v>565</v>
      </c>
    </row>
    <row r="174" spans="1:1">
      <c r="A174" s="167" t="s">
        <v>566</v>
      </c>
    </row>
    <row r="175" spans="1:1">
      <c r="A175" s="167" t="s">
        <v>567</v>
      </c>
    </row>
    <row r="176" spans="1:1">
      <c r="A176" s="166" t="s">
        <v>129</v>
      </c>
    </row>
    <row r="177" spans="1:1">
      <c r="A177" s="167" t="s">
        <v>568</v>
      </c>
    </row>
    <row r="178" spans="1:1">
      <c r="A178" s="167" t="s">
        <v>569</v>
      </c>
    </row>
    <row r="179" spans="1:1">
      <c r="A179" s="167" t="s">
        <v>570</v>
      </c>
    </row>
    <row r="180" spans="1:1">
      <c r="A180" s="167" t="s">
        <v>571</v>
      </c>
    </row>
    <row r="181" spans="1:1">
      <c r="A181" s="167" t="s">
        <v>572</v>
      </c>
    </row>
    <row r="182" spans="1:1">
      <c r="A182" s="167" t="s">
        <v>573</v>
      </c>
    </row>
    <row r="183" spans="1:1">
      <c r="A183" s="167" t="s">
        <v>574</v>
      </c>
    </row>
    <row r="184" spans="1:1">
      <c r="A184" s="167" t="s">
        <v>575</v>
      </c>
    </row>
    <row r="185" spans="1:1">
      <c r="A185" s="167" t="s">
        <v>576</v>
      </c>
    </row>
    <row r="186" spans="1:1">
      <c r="A186" s="167" t="s">
        <v>577</v>
      </c>
    </row>
    <row r="187" spans="1:1">
      <c r="A187" s="167" t="s">
        <v>578</v>
      </c>
    </row>
    <row r="188" spans="1:1">
      <c r="A188" s="167" t="s">
        <v>579</v>
      </c>
    </row>
    <row r="189" spans="1:1">
      <c r="A189" s="167" t="s">
        <v>580</v>
      </c>
    </row>
    <row r="190" spans="1:1">
      <c r="A190" s="167" t="s">
        <v>581</v>
      </c>
    </row>
    <row r="191" spans="1:1">
      <c r="A191" s="167" t="s">
        <v>582</v>
      </c>
    </row>
    <row r="192" spans="1:1">
      <c r="A192" s="167" t="s">
        <v>583</v>
      </c>
    </row>
    <row r="193" spans="1:1">
      <c r="A193" s="167" t="s">
        <v>584</v>
      </c>
    </row>
    <row r="194" spans="1:1">
      <c r="A194" s="167" t="s">
        <v>585</v>
      </c>
    </row>
    <row r="195" spans="1:1">
      <c r="A195" s="167" t="s">
        <v>586</v>
      </c>
    </row>
    <row r="196" spans="1:1">
      <c r="A196" s="167" t="s">
        <v>587</v>
      </c>
    </row>
    <row r="197" spans="1:1">
      <c r="A197" s="167" t="s">
        <v>588</v>
      </c>
    </row>
    <row r="198" spans="1:1">
      <c r="A198" s="167" t="s">
        <v>589</v>
      </c>
    </row>
    <row r="199" spans="1:1">
      <c r="A199" s="167" t="s">
        <v>590</v>
      </c>
    </row>
    <row r="200" spans="1:1">
      <c r="A200" s="167" t="s">
        <v>591</v>
      </c>
    </row>
    <row r="201" spans="1:1">
      <c r="A201" s="166" t="s">
        <v>130</v>
      </c>
    </row>
    <row r="202" spans="1:1">
      <c r="A202" s="167" t="s">
        <v>592</v>
      </c>
    </row>
    <row r="203" spans="1:1">
      <c r="A203" s="167" t="s">
        <v>593</v>
      </c>
    </row>
    <row r="204" spans="1:1">
      <c r="A204" s="167" t="s">
        <v>594</v>
      </c>
    </row>
    <row r="205" spans="1:1">
      <c r="A205" s="167" t="s">
        <v>595</v>
      </c>
    </row>
    <row r="206" spans="1:1">
      <c r="A206" s="167" t="s">
        <v>596</v>
      </c>
    </row>
    <row r="207" spans="1:1">
      <c r="A207" s="167" t="s">
        <v>597</v>
      </c>
    </row>
    <row r="208" spans="1:1">
      <c r="A208" s="167" t="s">
        <v>598</v>
      </c>
    </row>
    <row r="209" spans="1:1">
      <c r="A209" s="167" t="s">
        <v>599</v>
      </c>
    </row>
    <row r="210" spans="1:1">
      <c r="A210" s="167" t="s">
        <v>600</v>
      </c>
    </row>
    <row r="211" spans="1:1">
      <c r="A211" s="167" t="s">
        <v>601</v>
      </c>
    </row>
    <row r="212" spans="1:1">
      <c r="A212" s="166" t="s">
        <v>158</v>
      </c>
    </row>
    <row r="213" spans="1:1">
      <c r="A213" s="167" t="s">
        <v>602</v>
      </c>
    </row>
    <row r="214" spans="1:1">
      <c r="A214" s="167" t="s">
        <v>603</v>
      </c>
    </row>
    <row r="215" spans="1:1">
      <c r="A215" s="167" t="s">
        <v>604</v>
      </c>
    </row>
    <row r="216" spans="1:1">
      <c r="A216" s="167" t="s">
        <v>605</v>
      </c>
    </row>
    <row r="217" spans="1:1">
      <c r="A217" s="167" t="s">
        <v>606</v>
      </c>
    </row>
    <row r="218" spans="1:1">
      <c r="A218" s="166" t="s">
        <v>159</v>
      </c>
    </row>
    <row r="219" spans="1:1">
      <c r="A219" s="167" t="s">
        <v>607</v>
      </c>
    </row>
    <row r="220" spans="1:1">
      <c r="A220" s="167" t="s">
        <v>608</v>
      </c>
    </row>
    <row r="221" spans="1:1">
      <c r="A221" s="167" t="s">
        <v>609</v>
      </c>
    </row>
    <row r="222" spans="1:1">
      <c r="A222" s="167" t="s">
        <v>610</v>
      </c>
    </row>
    <row r="223" spans="1:1">
      <c r="A223" s="167" t="s">
        <v>611</v>
      </c>
    </row>
    <row r="224" spans="1:1">
      <c r="A224" s="167" t="s">
        <v>612</v>
      </c>
    </row>
    <row r="225" spans="1:1">
      <c r="A225" s="167" t="s">
        <v>613</v>
      </c>
    </row>
    <row r="226" spans="1:1">
      <c r="A226" s="167" t="s">
        <v>614</v>
      </c>
    </row>
    <row r="227" spans="1:1">
      <c r="A227" s="166" t="s">
        <v>161</v>
      </c>
    </row>
    <row r="228" spans="1:1">
      <c r="A228" s="167" t="s">
        <v>615</v>
      </c>
    </row>
    <row r="229" spans="1:1">
      <c r="A229" s="167" t="s">
        <v>616</v>
      </c>
    </row>
    <row r="230" spans="1:1">
      <c r="A230" s="167" t="s">
        <v>617</v>
      </c>
    </row>
    <row r="231" spans="1:1">
      <c r="A231" s="167" t="s">
        <v>618</v>
      </c>
    </row>
    <row r="232" spans="1:1">
      <c r="A232" s="167" t="s">
        <v>619</v>
      </c>
    </row>
    <row r="233" spans="1:1">
      <c r="A233" s="167" t="s">
        <v>620</v>
      </c>
    </row>
    <row r="234" spans="1:1">
      <c r="A234" s="167" t="s">
        <v>621</v>
      </c>
    </row>
    <row r="235" spans="1:1">
      <c r="A235" s="166" t="s">
        <v>162</v>
      </c>
    </row>
    <row r="236" spans="1:1">
      <c r="A236" s="167" t="s">
        <v>622</v>
      </c>
    </row>
    <row r="237" spans="1:1">
      <c r="A237" s="167" t="s">
        <v>623</v>
      </c>
    </row>
    <row r="238" spans="1:1">
      <c r="A238" s="167" t="s">
        <v>624</v>
      </c>
    </row>
    <row r="239" spans="1:1">
      <c r="A239" s="167" t="s">
        <v>625</v>
      </c>
    </row>
    <row r="240" spans="1:1">
      <c r="A240" s="167" t="s">
        <v>626</v>
      </c>
    </row>
    <row r="241" spans="1:1">
      <c r="A241" s="167" t="s">
        <v>627</v>
      </c>
    </row>
    <row r="242" spans="1:1">
      <c r="A242" s="167" t="s">
        <v>628</v>
      </c>
    </row>
    <row r="243" spans="1:1">
      <c r="A243" s="167" t="s">
        <v>629</v>
      </c>
    </row>
    <row r="244" spans="1:1">
      <c r="A244" s="166" t="s">
        <v>131</v>
      </c>
    </row>
    <row r="245" spans="1:1">
      <c r="A245" s="167" t="s">
        <v>630</v>
      </c>
    </row>
    <row r="246" spans="1:1">
      <c r="A246" s="167" t="s">
        <v>631</v>
      </c>
    </row>
    <row r="247" spans="1:1">
      <c r="A247" s="166" t="s">
        <v>132</v>
      </c>
    </row>
    <row r="248" spans="1:1">
      <c r="A248" s="167" t="s">
        <v>632</v>
      </c>
    </row>
    <row r="249" spans="1:1">
      <c r="A249" s="167" t="s">
        <v>633</v>
      </c>
    </row>
    <row r="250" spans="1:1">
      <c r="A250" s="167" t="s">
        <v>634</v>
      </c>
    </row>
    <row r="251" spans="1:1">
      <c r="A251" s="167" t="s">
        <v>635</v>
      </c>
    </row>
    <row r="252" spans="1:1">
      <c r="A252" s="167" t="s">
        <v>636</v>
      </c>
    </row>
    <row r="253" spans="1:1">
      <c r="A253" s="167" t="s">
        <v>637</v>
      </c>
    </row>
    <row r="254" spans="1:1">
      <c r="A254" s="167" t="s">
        <v>638</v>
      </c>
    </row>
    <row r="255" spans="1:1">
      <c r="A255" s="167" t="s">
        <v>639</v>
      </c>
    </row>
    <row r="256" spans="1:1">
      <c r="A256" s="166" t="s">
        <v>644</v>
      </c>
    </row>
    <row r="257" spans="1:1">
      <c r="A257" s="167" t="s">
        <v>644</v>
      </c>
    </row>
    <row r="258" spans="1:1">
      <c r="A258" s="166" t="s">
        <v>78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B1399-9FAF-4612-808B-28458497CC0C}">
  <dimension ref="A1:AB270"/>
  <sheetViews>
    <sheetView topLeftCell="A229" workbookViewId="0">
      <selection activeCell="A5" sqref="A5"/>
    </sheetView>
  </sheetViews>
  <sheetFormatPr defaultColWidth="9.140625" defaultRowHeight="12.75"/>
  <cols>
    <col min="1" max="1" width="35" style="15" bestFit="1" customWidth="1"/>
    <col min="2" max="2" width="8.85546875" style="166" customWidth="1"/>
    <col min="3" max="3" width="10" style="15" bestFit="1" customWidth="1"/>
    <col min="4" max="5" width="15" style="15" bestFit="1" customWidth="1"/>
    <col min="6" max="7" width="12" style="15" bestFit="1" customWidth="1"/>
    <col min="8" max="8" width="14" style="15" bestFit="1" customWidth="1"/>
    <col min="9" max="9" width="13" style="15" bestFit="1" customWidth="1"/>
    <col min="10" max="10" width="17" style="15" bestFit="1" customWidth="1"/>
    <col min="11" max="11" width="9" style="15" bestFit="1" customWidth="1"/>
    <col min="12" max="12" width="15" style="15" bestFit="1" customWidth="1"/>
    <col min="13" max="13" width="35" style="15" bestFit="1" customWidth="1"/>
    <col min="14" max="14" width="16" style="15" bestFit="1" customWidth="1"/>
    <col min="15" max="15" width="15" style="15" bestFit="1" customWidth="1"/>
    <col min="16" max="16" width="16" style="15" bestFit="1" customWidth="1"/>
    <col min="17" max="17" width="13" style="15" bestFit="1" customWidth="1"/>
    <col min="18" max="18" width="17" style="15" bestFit="1" customWidth="1"/>
    <col min="19" max="19" width="22" style="15" bestFit="1" customWidth="1"/>
    <col min="20" max="20" width="17" style="15" bestFit="1" customWidth="1"/>
    <col min="21" max="21" width="9" style="15" bestFit="1" customWidth="1"/>
    <col min="22" max="22" width="22" style="15" bestFit="1" customWidth="1"/>
    <col min="23" max="23" width="14" style="15" bestFit="1" customWidth="1"/>
    <col min="24" max="24" width="13" style="15" bestFit="1" customWidth="1"/>
    <col min="25" max="26" width="19" style="15" bestFit="1" customWidth="1"/>
    <col min="27" max="27" width="16" style="15" bestFit="1" customWidth="1"/>
    <col min="28" max="28" width="35" style="15" bestFit="1" customWidth="1"/>
    <col min="29" max="16384" width="9.140625" style="15"/>
  </cols>
  <sheetData>
    <row r="1" spans="1:28">
      <c r="A1" s="15" t="s">
        <v>80</v>
      </c>
      <c r="B1" s="166" t="s">
        <v>100</v>
      </c>
      <c r="C1" s="15" t="s">
        <v>731</v>
      </c>
      <c r="D1" s="15" t="s">
        <v>730</v>
      </c>
      <c r="E1" s="15" t="s">
        <v>729</v>
      </c>
      <c r="F1" s="15" t="s">
        <v>728</v>
      </c>
      <c r="G1" s="15" t="s">
        <v>727</v>
      </c>
      <c r="H1" s="15" t="s">
        <v>726</v>
      </c>
      <c r="I1" s="15" t="s">
        <v>90</v>
      </c>
      <c r="J1" s="15" t="s">
        <v>725</v>
      </c>
      <c r="K1" s="15" t="s">
        <v>724</v>
      </c>
      <c r="L1" s="15" t="s">
        <v>723</v>
      </c>
      <c r="M1" s="15" t="s">
        <v>722</v>
      </c>
      <c r="N1" s="15" t="s">
        <v>721</v>
      </c>
      <c r="O1" s="15" t="s">
        <v>92</v>
      </c>
      <c r="P1" s="15" t="s">
        <v>720</v>
      </c>
      <c r="Q1" s="15" t="s">
        <v>719</v>
      </c>
      <c r="R1" s="15" t="s">
        <v>718</v>
      </c>
      <c r="S1" s="15" t="s">
        <v>717</v>
      </c>
      <c r="T1" s="15" t="s">
        <v>716</v>
      </c>
      <c r="U1" s="15" t="s">
        <v>715</v>
      </c>
      <c r="V1" s="15" t="s">
        <v>714</v>
      </c>
      <c r="W1" s="15" t="s">
        <v>91</v>
      </c>
      <c r="X1" s="15" t="s">
        <v>713</v>
      </c>
      <c r="Y1" s="15" t="s">
        <v>712</v>
      </c>
      <c r="Z1" s="15" t="s">
        <v>711</v>
      </c>
      <c r="AA1" s="15" t="s">
        <v>710</v>
      </c>
      <c r="AB1" s="15" t="s">
        <v>709</v>
      </c>
    </row>
    <row r="2" spans="1:28">
      <c r="A2" s="15" t="s">
        <v>435</v>
      </c>
      <c r="B2" s="166" t="str">
        <f t="shared" ref="B2:B65" si="0">MID($A2,3,3)</f>
        <v>303</v>
      </c>
      <c r="C2" s="15">
        <v>33</v>
      </c>
      <c r="D2" s="15">
        <v>1013</v>
      </c>
      <c r="E2" s="15">
        <v>1018</v>
      </c>
      <c r="F2" s="15">
        <v>1053</v>
      </c>
      <c r="G2" s="15">
        <v>1052</v>
      </c>
      <c r="H2" s="15">
        <v>1</v>
      </c>
      <c r="I2" s="15">
        <v>1</v>
      </c>
      <c r="J2" s="15">
        <v>0</v>
      </c>
      <c r="K2" s="15" t="s">
        <v>235</v>
      </c>
      <c r="L2" s="15">
        <v>0.5</v>
      </c>
      <c r="M2" s="15" t="s">
        <v>649</v>
      </c>
      <c r="N2" s="15" t="s">
        <v>235</v>
      </c>
      <c r="O2" s="15">
        <v>4</v>
      </c>
      <c r="P2" s="15">
        <v>4</v>
      </c>
      <c r="Q2" s="15" t="s">
        <v>235</v>
      </c>
      <c r="R2" s="15" t="s">
        <v>235</v>
      </c>
      <c r="S2" s="15" t="s">
        <v>235</v>
      </c>
      <c r="T2" s="15" t="s">
        <v>235</v>
      </c>
      <c r="U2" s="15">
        <v>1</v>
      </c>
      <c r="V2" s="15" t="s">
        <v>235</v>
      </c>
      <c r="W2" s="15">
        <v>1</v>
      </c>
      <c r="X2" s="15">
        <v>1</v>
      </c>
      <c r="Y2" s="15">
        <v>1042</v>
      </c>
      <c r="Z2" s="15">
        <v>1046</v>
      </c>
      <c r="AA2" s="15" t="s">
        <v>235</v>
      </c>
      <c r="AB2" s="15" t="s">
        <v>435</v>
      </c>
    </row>
    <row r="3" spans="1:28">
      <c r="A3" s="15" t="s">
        <v>436</v>
      </c>
      <c r="B3" s="166" t="str">
        <f t="shared" si="0"/>
        <v>303</v>
      </c>
      <c r="C3" s="15">
        <v>33</v>
      </c>
      <c r="D3" s="15">
        <v>1013</v>
      </c>
      <c r="E3" s="15">
        <v>1018</v>
      </c>
      <c r="F3" s="15">
        <v>1053</v>
      </c>
      <c r="G3" s="15">
        <v>1052</v>
      </c>
      <c r="H3" s="15">
        <v>2</v>
      </c>
      <c r="I3" s="15">
        <v>2</v>
      </c>
      <c r="J3" s="15">
        <v>99</v>
      </c>
      <c r="K3" s="15" t="s">
        <v>235</v>
      </c>
      <c r="L3" s="15">
        <v>0.5</v>
      </c>
      <c r="M3" s="15" t="s">
        <v>175</v>
      </c>
      <c r="N3" s="15" t="s">
        <v>235</v>
      </c>
      <c r="O3" s="15">
        <v>4</v>
      </c>
      <c r="P3" s="15">
        <v>58</v>
      </c>
      <c r="Q3" s="15" t="s">
        <v>235</v>
      </c>
      <c r="R3" s="15" t="s">
        <v>235</v>
      </c>
      <c r="S3" s="15" t="s">
        <v>235</v>
      </c>
      <c r="T3" s="15" t="s">
        <v>235</v>
      </c>
      <c r="U3" s="15">
        <v>1</v>
      </c>
      <c r="V3" s="15" t="s">
        <v>235</v>
      </c>
      <c r="W3" s="15">
        <v>1</v>
      </c>
      <c r="X3" s="15">
        <v>1</v>
      </c>
      <c r="Y3" s="15">
        <v>1042</v>
      </c>
      <c r="Z3" s="15">
        <v>1046</v>
      </c>
      <c r="AA3" s="15" t="s">
        <v>235</v>
      </c>
      <c r="AB3" s="15" t="s">
        <v>436</v>
      </c>
    </row>
    <row r="4" spans="1:28">
      <c r="A4" s="15" t="s">
        <v>437</v>
      </c>
      <c r="B4" s="166" t="str">
        <f t="shared" si="0"/>
        <v>303</v>
      </c>
      <c r="C4" s="15">
        <v>33</v>
      </c>
      <c r="D4" s="15">
        <v>1013</v>
      </c>
      <c r="E4" s="15">
        <v>1018</v>
      </c>
      <c r="F4" s="15">
        <v>1053</v>
      </c>
      <c r="G4" s="15">
        <v>1052</v>
      </c>
      <c r="H4" s="15">
        <v>3</v>
      </c>
      <c r="I4" s="15">
        <v>3</v>
      </c>
      <c r="J4" s="15">
        <v>99</v>
      </c>
      <c r="K4" s="15" t="s">
        <v>235</v>
      </c>
      <c r="L4" s="15">
        <v>0.5</v>
      </c>
      <c r="M4" s="15" t="s">
        <v>708</v>
      </c>
      <c r="N4" s="15" t="s">
        <v>235</v>
      </c>
      <c r="O4" s="15">
        <v>4</v>
      </c>
      <c r="P4" s="15">
        <v>59</v>
      </c>
      <c r="Q4" s="15" t="s">
        <v>235</v>
      </c>
      <c r="R4" s="15" t="s">
        <v>235</v>
      </c>
      <c r="S4" s="15" t="s">
        <v>235</v>
      </c>
      <c r="T4" s="15" t="s">
        <v>235</v>
      </c>
      <c r="U4" s="15">
        <v>1</v>
      </c>
      <c r="V4" s="15" t="s">
        <v>235</v>
      </c>
      <c r="W4" s="15">
        <v>1</v>
      </c>
      <c r="X4" s="15">
        <v>1</v>
      </c>
      <c r="Y4" s="15">
        <v>1042</v>
      </c>
      <c r="Z4" s="15">
        <v>1046</v>
      </c>
      <c r="AA4" s="15" t="s">
        <v>235</v>
      </c>
      <c r="AB4" s="15" t="s">
        <v>437</v>
      </c>
    </row>
    <row r="5" spans="1:28">
      <c r="A5" s="15" t="s">
        <v>438</v>
      </c>
      <c r="B5" s="166" t="str">
        <f t="shared" si="0"/>
        <v>303</v>
      </c>
      <c r="C5" s="15">
        <v>33</v>
      </c>
      <c r="D5" s="15">
        <v>1013</v>
      </c>
      <c r="E5" s="15">
        <v>1018</v>
      </c>
      <c r="F5" s="15">
        <v>1053</v>
      </c>
      <c r="G5" s="15">
        <v>1052</v>
      </c>
      <c r="H5" s="15">
        <v>10210</v>
      </c>
      <c r="I5" s="15">
        <v>20354889</v>
      </c>
      <c r="J5" s="15">
        <v>0</v>
      </c>
      <c r="K5" s="15" t="s">
        <v>235</v>
      </c>
      <c r="L5" s="15">
        <v>0.5</v>
      </c>
      <c r="M5" s="15" t="s">
        <v>649</v>
      </c>
      <c r="N5" s="15" t="s">
        <v>235</v>
      </c>
      <c r="O5" s="15">
        <v>4</v>
      </c>
      <c r="P5" s="15">
        <v>66</v>
      </c>
      <c r="Q5" s="15" t="s">
        <v>235</v>
      </c>
      <c r="R5" s="15" t="s">
        <v>235</v>
      </c>
      <c r="S5" s="15" t="s">
        <v>235</v>
      </c>
      <c r="T5" s="15" t="s">
        <v>235</v>
      </c>
      <c r="U5" s="15">
        <v>1</v>
      </c>
      <c r="V5" s="15" t="s">
        <v>235</v>
      </c>
      <c r="W5" s="15">
        <v>1</v>
      </c>
      <c r="X5" s="15">
        <v>1</v>
      </c>
      <c r="Y5" s="15">
        <v>1042</v>
      </c>
      <c r="Z5" s="15">
        <v>1046</v>
      </c>
      <c r="AA5" s="15" t="s">
        <v>235</v>
      </c>
      <c r="AB5" s="15" t="s">
        <v>438</v>
      </c>
    </row>
    <row r="6" spans="1:28">
      <c r="A6" s="15" t="s">
        <v>439</v>
      </c>
      <c r="B6" s="166" t="str">
        <f t="shared" si="0"/>
        <v>303</v>
      </c>
      <c r="C6" s="15">
        <v>33</v>
      </c>
      <c r="D6" s="15">
        <v>1013</v>
      </c>
      <c r="E6" s="15">
        <v>1018</v>
      </c>
      <c r="F6" s="15">
        <v>1053</v>
      </c>
      <c r="G6" s="15">
        <v>1052</v>
      </c>
      <c r="H6" s="15">
        <v>4</v>
      </c>
      <c r="I6" s="15">
        <v>4</v>
      </c>
      <c r="J6" s="15">
        <v>0</v>
      </c>
      <c r="K6" s="15" t="s">
        <v>235</v>
      </c>
      <c r="L6" s="15">
        <v>0.5</v>
      </c>
      <c r="M6" s="15" t="s">
        <v>649</v>
      </c>
      <c r="N6" s="15" t="s">
        <v>235</v>
      </c>
      <c r="O6" s="15">
        <v>4</v>
      </c>
      <c r="P6" s="15">
        <v>66</v>
      </c>
      <c r="Q6" s="15" t="s">
        <v>235</v>
      </c>
      <c r="R6" s="15" t="s">
        <v>235</v>
      </c>
      <c r="S6" s="15" t="s">
        <v>235</v>
      </c>
      <c r="T6" s="15" t="s">
        <v>235</v>
      </c>
      <c r="U6" s="15">
        <v>1</v>
      </c>
      <c r="V6" s="15" t="s">
        <v>235</v>
      </c>
      <c r="W6" s="15">
        <v>1</v>
      </c>
      <c r="X6" s="15">
        <v>1</v>
      </c>
      <c r="Y6" s="15">
        <v>1042</v>
      </c>
      <c r="Z6" s="15">
        <v>1046</v>
      </c>
      <c r="AA6" s="15" t="s">
        <v>235</v>
      </c>
      <c r="AB6" s="15" t="s">
        <v>439</v>
      </c>
    </row>
    <row r="7" spans="1:28">
      <c r="A7" s="15" t="s">
        <v>440</v>
      </c>
      <c r="B7" s="166" t="str">
        <f t="shared" si="0"/>
        <v>303</v>
      </c>
      <c r="C7" s="15">
        <v>33</v>
      </c>
      <c r="D7" s="15">
        <v>1013</v>
      </c>
      <c r="E7" s="15">
        <v>1018</v>
      </c>
      <c r="F7" s="15">
        <v>1053</v>
      </c>
      <c r="G7" s="15">
        <v>1052</v>
      </c>
      <c r="H7" s="15">
        <v>10205</v>
      </c>
      <c r="I7" s="15">
        <v>20134227</v>
      </c>
      <c r="J7" s="15">
        <v>0</v>
      </c>
      <c r="K7" s="15" t="s">
        <v>235</v>
      </c>
      <c r="L7" s="15">
        <v>0.5</v>
      </c>
      <c r="M7" s="15" t="s">
        <v>649</v>
      </c>
      <c r="N7" s="15" t="s">
        <v>235</v>
      </c>
      <c r="O7" s="15">
        <v>4</v>
      </c>
      <c r="P7" s="15">
        <v>66</v>
      </c>
      <c r="Q7" s="15" t="s">
        <v>235</v>
      </c>
      <c r="R7" s="15" t="s">
        <v>235</v>
      </c>
      <c r="S7" s="15" t="s">
        <v>235</v>
      </c>
      <c r="T7" s="15" t="s">
        <v>235</v>
      </c>
      <c r="U7" s="15">
        <v>1</v>
      </c>
      <c r="V7" s="15" t="s">
        <v>235</v>
      </c>
      <c r="W7" s="15">
        <v>1</v>
      </c>
      <c r="X7" s="15">
        <v>1</v>
      </c>
      <c r="Y7" s="15">
        <v>1042</v>
      </c>
      <c r="Z7" s="15">
        <v>1046</v>
      </c>
      <c r="AA7" s="15" t="s">
        <v>235</v>
      </c>
      <c r="AB7" s="15" t="s">
        <v>440</v>
      </c>
    </row>
    <row r="8" spans="1:28">
      <c r="A8" s="15" t="s">
        <v>441</v>
      </c>
      <c r="B8" s="166" t="str">
        <f t="shared" si="0"/>
        <v>303</v>
      </c>
      <c r="C8" s="15">
        <v>33</v>
      </c>
      <c r="D8" s="15">
        <v>1013</v>
      </c>
      <c r="E8" s="15">
        <v>1018</v>
      </c>
      <c r="F8" s="15">
        <v>1053</v>
      </c>
      <c r="G8" s="15">
        <v>1052</v>
      </c>
      <c r="H8" s="15">
        <v>5</v>
      </c>
      <c r="I8" s="15">
        <v>5</v>
      </c>
      <c r="J8" s="15">
        <v>0</v>
      </c>
      <c r="K8" s="15" t="s">
        <v>235</v>
      </c>
      <c r="L8" s="15">
        <v>0.5</v>
      </c>
      <c r="M8" s="15" t="s">
        <v>649</v>
      </c>
      <c r="N8" s="15" t="s">
        <v>235</v>
      </c>
      <c r="O8" s="15">
        <v>4</v>
      </c>
      <c r="P8" s="15">
        <v>67</v>
      </c>
      <c r="Q8" s="15" t="s">
        <v>235</v>
      </c>
      <c r="R8" s="15" t="s">
        <v>235</v>
      </c>
      <c r="S8" s="15" t="s">
        <v>235</v>
      </c>
      <c r="T8" s="15" t="s">
        <v>235</v>
      </c>
      <c r="U8" s="15">
        <v>1</v>
      </c>
      <c r="V8" s="15" t="s">
        <v>235</v>
      </c>
      <c r="W8" s="15">
        <v>1</v>
      </c>
      <c r="X8" s="15">
        <v>1</v>
      </c>
      <c r="Y8" s="15">
        <v>1042</v>
      </c>
      <c r="Z8" s="15">
        <v>1046</v>
      </c>
      <c r="AA8" s="15" t="s">
        <v>235</v>
      </c>
      <c r="AB8" s="15" t="s">
        <v>441</v>
      </c>
    </row>
    <row r="9" spans="1:28">
      <c r="A9" s="15" t="s">
        <v>442</v>
      </c>
      <c r="B9" s="166" t="str">
        <f t="shared" si="0"/>
        <v>303</v>
      </c>
      <c r="C9" s="15">
        <v>33</v>
      </c>
      <c r="D9" s="15">
        <v>1013</v>
      </c>
      <c r="E9" s="15">
        <v>1018</v>
      </c>
      <c r="F9" s="15">
        <v>1053</v>
      </c>
      <c r="G9" s="15">
        <v>1052</v>
      </c>
      <c r="H9" s="15">
        <v>6</v>
      </c>
      <c r="I9" s="15">
        <v>6</v>
      </c>
      <c r="J9" s="15">
        <v>0</v>
      </c>
      <c r="K9" s="15" t="s">
        <v>235</v>
      </c>
      <c r="L9" s="15">
        <v>0.5</v>
      </c>
      <c r="M9" s="15" t="s">
        <v>649</v>
      </c>
      <c r="N9" s="15" t="s">
        <v>235</v>
      </c>
      <c r="O9" s="15">
        <v>4</v>
      </c>
      <c r="P9" s="15">
        <v>67</v>
      </c>
      <c r="Q9" s="15" t="s">
        <v>235</v>
      </c>
      <c r="R9" s="15" t="s">
        <v>235</v>
      </c>
      <c r="S9" s="15" t="s">
        <v>235</v>
      </c>
      <c r="T9" s="15" t="s">
        <v>235</v>
      </c>
      <c r="U9" s="15">
        <v>1</v>
      </c>
      <c r="V9" s="15" t="s">
        <v>235</v>
      </c>
      <c r="W9" s="15">
        <v>1</v>
      </c>
      <c r="X9" s="15">
        <v>1</v>
      </c>
      <c r="Y9" s="15">
        <v>1042</v>
      </c>
      <c r="Z9" s="15">
        <v>1046</v>
      </c>
      <c r="AA9" s="15" t="s">
        <v>235</v>
      </c>
      <c r="AB9" s="15" t="s">
        <v>442</v>
      </c>
    </row>
    <row r="10" spans="1:28">
      <c r="A10" s="15" t="s">
        <v>443</v>
      </c>
      <c r="B10" s="166" t="str">
        <f t="shared" si="0"/>
        <v>303</v>
      </c>
      <c r="C10" s="15">
        <v>33</v>
      </c>
      <c r="D10" s="15">
        <v>1013</v>
      </c>
      <c r="E10" s="15">
        <v>1018</v>
      </c>
      <c r="F10" s="15">
        <v>1053</v>
      </c>
      <c r="G10" s="15">
        <v>1052</v>
      </c>
      <c r="H10" s="15">
        <v>10204</v>
      </c>
      <c r="I10" s="15">
        <v>20134172</v>
      </c>
      <c r="J10" s="15">
        <v>0</v>
      </c>
      <c r="K10" s="15" t="s">
        <v>235</v>
      </c>
      <c r="L10" s="15">
        <v>0.5</v>
      </c>
      <c r="M10" s="15" t="s">
        <v>649</v>
      </c>
      <c r="N10" s="15" t="s">
        <v>235</v>
      </c>
      <c r="O10" s="15">
        <v>4</v>
      </c>
      <c r="P10" s="15">
        <v>67</v>
      </c>
      <c r="Q10" s="15" t="s">
        <v>235</v>
      </c>
      <c r="R10" s="15" t="s">
        <v>235</v>
      </c>
      <c r="S10" s="15" t="s">
        <v>235</v>
      </c>
      <c r="T10" s="15" t="s">
        <v>235</v>
      </c>
      <c r="U10" s="15">
        <v>1</v>
      </c>
      <c r="V10" s="15" t="s">
        <v>235</v>
      </c>
      <c r="W10" s="15">
        <v>1</v>
      </c>
      <c r="X10" s="15">
        <v>1</v>
      </c>
      <c r="Y10" s="15">
        <v>1042</v>
      </c>
      <c r="Z10" s="15">
        <v>1046</v>
      </c>
      <c r="AA10" s="15" t="s">
        <v>235</v>
      </c>
      <c r="AB10" s="15" t="s">
        <v>443</v>
      </c>
    </row>
    <row r="11" spans="1:28">
      <c r="A11" s="15" t="s">
        <v>444</v>
      </c>
      <c r="B11" s="166" t="str">
        <f t="shared" si="0"/>
        <v>303</v>
      </c>
      <c r="C11" s="15">
        <v>33</v>
      </c>
      <c r="D11" s="15">
        <v>1013</v>
      </c>
      <c r="E11" s="15">
        <v>1018</v>
      </c>
      <c r="F11" s="15">
        <v>1053</v>
      </c>
      <c r="G11" s="15">
        <v>1052</v>
      </c>
      <c r="H11" s="15">
        <v>10239</v>
      </c>
      <c r="I11" s="15">
        <v>21934992</v>
      </c>
      <c r="J11" s="15">
        <v>0</v>
      </c>
      <c r="K11" s="15" t="s">
        <v>235</v>
      </c>
      <c r="L11" s="15">
        <v>0.5</v>
      </c>
      <c r="M11" s="15" t="s">
        <v>649</v>
      </c>
      <c r="N11" s="15" t="s">
        <v>235</v>
      </c>
      <c r="O11" s="15">
        <v>4</v>
      </c>
      <c r="P11" s="15">
        <v>67</v>
      </c>
      <c r="Q11" s="15" t="s">
        <v>235</v>
      </c>
      <c r="R11" s="15" t="s">
        <v>235</v>
      </c>
      <c r="S11" s="15" t="s">
        <v>235</v>
      </c>
      <c r="T11" s="15" t="s">
        <v>235</v>
      </c>
      <c r="U11" s="15">
        <v>1</v>
      </c>
      <c r="V11" s="15" t="s">
        <v>235</v>
      </c>
      <c r="W11" s="15">
        <v>1</v>
      </c>
      <c r="X11" s="15">
        <v>1</v>
      </c>
      <c r="Y11" s="15">
        <v>1042</v>
      </c>
      <c r="Z11" s="15">
        <v>1046</v>
      </c>
      <c r="AA11" s="15" t="s">
        <v>235</v>
      </c>
      <c r="AB11" s="15" t="s">
        <v>444</v>
      </c>
    </row>
    <row r="12" spans="1:28">
      <c r="A12" s="15" t="s">
        <v>445</v>
      </c>
      <c r="B12" s="166" t="str">
        <f t="shared" si="0"/>
        <v>303</v>
      </c>
      <c r="C12" s="15">
        <v>33</v>
      </c>
      <c r="D12" s="15">
        <v>1013</v>
      </c>
      <c r="E12" s="15">
        <v>1018</v>
      </c>
      <c r="F12" s="15">
        <v>1053</v>
      </c>
      <c r="G12" s="15">
        <v>1052</v>
      </c>
      <c r="H12" s="15">
        <v>10058</v>
      </c>
      <c r="I12" s="15">
        <v>5758014</v>
      </c>
      <c r="J12" s="15">
        <v>0</v>
      </c>
      <c r="K12" s="15" t="s">
        <v>235</v>
      </c>
      <c r="L12" s="15">
        <v>0.5</v>
      </c>
      <c r="M12" s="15" t="s">
        <v>649</v>
      </c>
      <c r="N12" s="15" t="s">
        <v>235</v>
      </c>
      <c r="O12" s="15">
        <v>4</v>
      </c>
      <c r="P12" s="15">
        <v>67</v>
      </c>
      <c r="Q12" s="15" t="s">
        <v>235</v>
      </c>
      <c r="R12" s="15" t="s">
        <v>235</v>
      </c>
      <c r="S12" s="15" t="s">
        <v>235</v>
      </c>
      <c r="T12" s="15" t="s">
        <v>235</v>
      </c>
      <c r="U12" s="15">
        <v>1</v>
      </c>
      <c r="V12" s="15" t="s">
        <v>235</v>
      </c>
      <c r="W12" s="15">
        <v>1</v>
      </c>
      <c r="X12" s="15">
        <v>1</v>
      </c>
      <c r="Y12" s="15">
        <v>1042</v>
      </c>
      <c r="Z12" s="15">
        <v>1046</v>
      </c>
      <c r="AA12" s="15" t="s">
        <v>235</v>
      </c>
      <c r="AB12" s="15" t="s">
        <v>435</v>
      </c>
    </row>
    <row r="13" spans="1:28">
      <c r="A13" s="15" t="s">
        <v>446</v>
      </c>
      <c r="B13" s="166" t="str">
        <f t="shared" si="0"/>
        <v>303</v>
      </c>
      <c r="C13" s="15">
        <v>33</v>
      </c>
      <c r="D13" s="15">
        <v>1013</v>
      </c>
      <c r="E13" s="15">
        <v>1018</v>
      </c>
      <c r="F13" s="15">
        <v>1053</v>
      </c>
      <c r="G13" s="15">
        <v>1052</v>
      </c>
      <c r="H13" s="15">
        <v>7</v>
      </c>
      <c r="I13" s="15">
        <v>7</v>
      </c>
      <c r="J13" s="15">
        <v>0</v>
      </c>
      <c r="K13" s="15" t="s">
        <v>235</v>
      </c>
      <c r="L13" s="15">
        <v>0.5</v>
      </c>
      <c r="M13" s="15" t="s">
        <v>649</v>
      </c>
      <c r="N13" s="15" t="s">
        <v>235</v>
      </c>
      <c r="O13" s="15">
        <v>4</v>
      </c>
      <c r="P13" s="15">
        <v>70</v>
      </c>
      <c r="Q13" s="15" t="s">
        <v>235</v>
      </c>
      <c r="R13" s="15" t="s">
        <v>235</v>
      </c>
      <c r="S13" s="15" t="s">
        <v>235</v>
      </c>
      <c r="T13" s="15" t="s">
        <v>235</v>
      </c>
      <c r="U13" s="15">
        <v>1</v>
      </c>
      <c r="V13" s="15" t="s">
        <v>235</v>
      </c>
      <c r="W13" s="15">
        <v>1</v>
      </c>
      <c r="X13" s="15">
        <v>1</v>
      </c>
      <c r="Y13" s="15">
        <v>1042</v>
      </c>
      <c r="Z13" s="15">
        <v>1046</v>
      </c>
      <c r="AA13" s="15" t="s">
        <v>235</v>
      </c>
      <c r="AB13" s="15" t="s">
        <v>446</v>
      </c>
    </row>
    <row r="14" spans="1:28">
      <c r="A14" s="15" t="s">
        <v>707</v>
      </c>
      <c r="B14" s="166" t="str">
        <f t="shared" si="0"/>
        <v>303</v>
      </c>
      <c r="C14" s="15">
        <v>33</v>
      </c>
      <c r="D14" s="15">
        <v>1014</v>
      </c>
      <c r="E14" s="15">
        <v>1019</v>
      </c>
      <c r="F14" s="15">
        <v>1053</v>
      </c>
      <c r="G14" s="15">
        <v>1052</v>
      </c>
      <c r="H14" s="15">
        <v>186</v>
      </c>
      <c r="I14" s="15">
        <v>186</v>
      </c>
      <c r="J14" s="15">
        <v>0</v>
      </c>
      <c r="K14" s="15" t="s">
        <v>235</v>
      </c>
      <c r="L14" s="15">
        <v>0.5</v>
      </c>
      <c r="M14" s="15" t="s">
        <v>649</v>
      </c>
      <c r="N14" s="15" t="s">
        <v>235</v>
      </c>
      <c r="O14" s="15">
        <v>4</v>
      </c>
      <c r="P14" s="15">
        <v>70</v>
      </c>
      <c r="Q14" s="15" t="s">
        <v>235</v>
      </c>
      <c r="R14" s="15" t="s">
        <v>235</v>
      </c>
      <c r="S14" s="15" t="s">
        <v>235</v>
      </c>
      <c r="T14" s="15" t="s">
        <v>235</v>
      </c>
      <c r="U14" s="15">
        <v>1</v>
      </c>
      <c r="V14" s="15" t="s">
        <v>235</v>
      </c>
      <c r="W14" s="15">
        <v>1</v>
      </c>
      <c r="X14" s="15">
        <v>1</v>
      </c>
      <c r="Y14" s="15">
        <v>1043</v>
      </c>
      <c r="Z14" s="15">
        <v>1047</v>
      </c>
      <c r="AA14" s="15" t="s">
        <v>235</v>
      </c>
      <c r="AB14" s="15" t="s">
        <v>707</v>
      </c>
    </row>
    <row r="15" spans="1:28">
      <c r="A15" s="15" t="s">
        <v>706</v>
      </c>
      <c r="B15" s="166" t="str">
        <f t="shared" si="0"/>
        <v>303</v>
      </c>
      <c r="C15" s="15">
        <v>33</v>
      </c>
      <c r="D15" s="15">
        <v>1014</v>
      </c>
      <c r="E15" s="15">
        <v>1019</v>
      </c>
      <c r="F15" s="15">
        <v>1053</v>
      </c>
      <c r="G15" s="15">
        <v>1052</v>
      </c>
      <c r="H15" s="15">
        <v>187</v>
      </c>
      <c r="I15" s="15">
        <v>187</v>
      </c>
      <c r="J15" s="15">
        <v>0</v>
      </c>
      <c r="K15" s="15" t="s">
        <v>235</v>
      </c>
      <c r="L15" s="15">
        <v>0.5</v>
      </c>
      <c r="M15" s="15" t="s">
        <v>649</v>
      </c>
      <c r="N15" s="15" t="s">
        <v>235</v>
      </c>
      <c r="O15" s="15">
        <v>4</v>
      </c>
      <c r="P15" s="15">
        <v>70</v>
      </c>
      <c r="Q15" s="15" t="s">
        <v>235</v>
      </c>
      <c r="R15" s="15" t="s">
        <v>235</v>
      </c>
      <c r="S15" s="15" t="s">
        <v>235</v>
      </c>
      <c r="T15" s="15" t="s">
        <v>235</v>
      </c>
      <c r="U15" s="15">
        <v>1</v>
      </c>
      <c r="V15" s="15" t="s">
        <v>235</v>
      </c>
      <c r="W15" s="15">
        <v>1</v>
      </c>
      <c r="X15" s="15">
        <v>1</v>
      </c>
      <c r="Y15" s="15">
        <v>1043</v>
      </c>
      <c r="Z15" s="15">
        <v>1047</v>
      </c>
      <c r="AA15" s="15" t="s">
        <v>235</v>
      </c>
      <c r="AB15" s="15" t="s">
        <v>706</v>
      </c>
    </row>
    <row r="16" spans="1:28">
      <c r="A16" s="15" t="s">
        <v>447</v>
      </c>
      <c r="B16" s="166" t="str">
        <f t="shared" si="0"/>
        <v>340</v>
      </c>
      <c r="C16" s="15">
        <v>33</v>
      </c>
      <c r="D16" s="15">
        <v>10899</v>
      </c>
      <c r="E16" s="15">
        <v>1021</v>
      </c>
      <c r="F16" s="15">
        <v>1053</v>
      </c>
      <c r="G16" s="15">
        <v>1052</v>
      </c>
      <c r="H16" s="15">
        <v>8</v>
      </c>
      <c r="I16" s="15">
        <v>8</v>
      </c>
      <c r="J16" s="15">
        <v>0</v>
      </c>
      <c r="K16" s="15" t="s">
        <v>235</v>
      </c>
      <c r="L16" s="15">
        <v>0.5</v>
      </c>
      <c r="M16" s="15" t="s">
        <v>649</v>
      </c>
      <c r="N16" s="15" t="s">
        <v>235</v>
      </c>
      <c r="O16" s="15">
        <v>11</v>
      </c>
      <c r="P16" s="15">
        <v>31</v>
      </c>
      <c r="Q16" s="15" t="s">
        <v>235</v>
      </c>
      <c r="R16" s="15" t="s">
        <v>235</v>
      </c>
      <c r="S16" s="15" t="s">
        <v>235</v>
      </c>
      <c r="T16" s="15" t="s">
        <v>235</v>
      </c>
      <c r="U16" s="15">
        <v>1</v>
      </c>
      <c r="V16" s="15" t="s">
        <v>235</v>
      </c>
      <c r="W16" s="15">
        <v>1</v>
      </c>
      <c r="X16" s="15">
        <v>5</v>
      </c>
      <c r="Y16" s="15">
        <v>1016</v>
      </c>
      <c r="Z16" s="15">
        <v>1022</v>
      </c>
      <c r="AA16" s="15" t="s">
        <v>235</v>
      </c>
      <c r="AB16" s="15" t="s">
        <v>447</v>
      </c>
    </row>
    <row r="17" spans="1:28">
      <c r="A17" s="15" t="s">
        <v>448</v>
      </c>
      <c r="B17" s="166" t="str">
        <f t="shared" si="0"/>
        <v>340</v>
      </c>
      <c r="C17" s="15">
        <v>33</v>
      </c>
      <c r="D17" s="15">
        <v>10899</v>
      </c>
      <c r="E17" s="15">
        <v>1021</v>
      </c>
      <c r="F17" s="15">
        <v>1053</v>
      </c>
      <c r="G17" s="15">
        <v>1052</v>
      </c>
      <c r="H17" s="15">
        <v>9</v>
      </c>
      <c r="I17" s="15">
        <v>9</v>
      </c>
      <c r="J17" s="15">
        <v>0</v>
      </c>
      <c r="K17" s="15" t="s">
        <v>235</v>
      </c>
      <c r="L17" s="15">
        <v>0.5</v>
      </c>
      <c r="M17" s="15" t="s">
        <v>649</v>
      </c>
      <c r="N17" s="15" t="s">
        <v>235</v>
      </c>
      <c r="O17" s="15">
        <v>11</v>
      </c>
      <c r="P17" s="15">
        <v>33</v>
      </c>
      <c r="Q17" s="15" t="s">
        <v>235</v>
      </c>
      <c r="R17" s="15" t="s">
        <v>235</v>
      </c>
      <c r="S17" s="15" t="s">
        <v>235</v>
      </c>
      <c r="T17" s="15" t="s">
        <v>235</v>
      </c>
      <c r="U17" s="15">
        <v>1</v>
      </c>
      <c r="V17" s="15" t="s">
        <v>235</v>
      </c>
      <c r="W17" s="15">
        <v>1</v>
      </c>
      <c r="X17" s="15">
        <v>5</v>
      </c>
      <c r="Y17" s="15">
        <v>1016</v>
      </c>
      <c r="Z17" s="15">
        <v>1022</v>
      </c>
      <c r="AA17" s="15" t="s">
        <v>235</v>
      </c>
      <c r="AB17" s="15" t="s">
        <v>448</v>
      </c>
    </row>
    <row r="18" spans="1:28">
      <c r="A18" s="15" t="s">
        <v>449</v>
      </c>
      <c r="B18" s="166" t="str">
        <f t="shared" si="0"/>
        <v>340</v>
      </c>
      <c r="C18" s="15">
        <v>33</v>
      </c>
      <c r="D18" s="15">
        <v>10899</v>
      </c>
      <c r="E18" s="15">
        <v>1021</v>
      </c>
      <c r="F18" s="15">
        <v>1053</v>
      </c>
      <c r="G18" s="15">
        <v>1052</v>
      </c>
      <c r="H18" s="15">
        <v>10</v>
      </c>
      <c r="I18" s="15">
        <v>10</v>
      </c>
      <c r="J18" s="15">
        <v>0</v>
      </c>
      <c r="K18" s="15" t="s">
        <v>235</v>
      </c>
      <c r="L18" s="15">
        <v>0.5</v>
      </c>
      <c r="M18" s="15" t="s">
        <v>649</v>
      </c>
      <c r="N18" s="15" t="s">
        <v>235</v>
      </c>
      <c r="O18" s="15">
        <v>11</v>
      </c>
      <c r="P18" s="15">
        <v>33</v>
      </c>
      <c r="Q18" s="15" t="s">
        <v>235</v>
      </c>
      <c r="R18" s="15" t="s">
        <v>235</v>
      </c>
      <c r="S18" s="15" t="s">
        <v>235</v>
      </c>
      <c r="T18" s="15" t="s">
        <v>235</v>
      </c>
      <c r="U18" s="15">
        <v>1</v>
      </c>
      <c r="V18" s="15" t="s">
        <v>235</v>
      </c>
      <c r="W18" s="15">
        <v>1</v>
      </c>
      <c r="X18" s="15">
        <v>5</v>
      </c>
      <c r="Y18" s="15">
        <v>1016</v>
      </c>
      <c r="Z18" s="15">
        <v>1022</v>
      </c>
      <c r="AA18" s="15" t="s">
        <v>235</v>
      </c>
      <c r="AB18" s="15" t="s">
        <v>449</v>
      </c>
    </row>
    <row r="19" spans="1:28">
      <c r="A19" s="15" t="s">
        <v>450</v>
      </c>
      <c r="B19" s="166" t="str">
        <f t="shared" si="0"/>
        <v>340</v>
      </c>
      <c r="C19" s="15">
        <v>33</v>
      </c>
      <c r="D19" s="15">
        <v>10899</v>
      </c>
      <c r="E19" s="15">
        <v>1021</v>
      </c>
      <c r="F19" s="15">
        <v>1053</v>
      </c>
      <c r="G19" s="15">
        <v>1052</v>
      </c>
      <c r="H19" s="15">
        <v>11</v>
      </c>
      <c r="I19" s="15">
        <v>11</v>
      </c>
      <c r="J19" s="15">
        <v>0</v>
      </c>
      <c r="K19" s="15" t="s">
        <v>235</v>
      </c>
      <c r="L19" s="15">
        <v>0.5</v>
      </c>
      <c r="M19" s="15" t="s">
        <v>649</v>
      </c>
      <c r="N19" s="15" t="s">
        <v>235</v>
      </c>
      <c r="O19" s="15">
        <v>11</v>
      </c>
      <c r="P19" s="15">
        <v>33</v>
      </c>
      <c r="Q19" s="15" t="s">
        <v>235</v>
      </c>
      <c r="R19" s="15" t="s">
        <v>235</v>
      </c>
      <c r="S19" s="15" t="s">
        <v>235</v>
      </c>
      <c r="T19" s="15" t="s">
        <v>235</v>
      </c>
      <c r="U19" s="15">
        <v>1</v>
      </c>
      <c r="V19" s="15" t="s">
        <v>235</v>
      </c>
      <c r="W19" s="15">
        <v>1</v>
      </c>
      <c r="X19" s="15">
        <v>5</v>
      </c>
      <c r="Y19" s="15">
        <v>1016</v>
      </c>
      <c r="Z19" s="15">
        <v>1022</v>
      </c>
      <c r="AA19" s="15" t="s">
        <v>235</v>
      </c>
      <c r="AB19" s="15" t="s">
        <v>450</v>
      </c>
    </row>
    <row r="20" spans="1:28">
      <c r="A20" s="15" t="s">
        <v>451</v>
      </c>
      <c r="B20" s="166" t="str">
        <f t="shared" si="0"/>
        <v>340</v>
      </c>
      <c r="C20" s="15">
        <v>33</v>
      </c>
      <c r="D20" s="15">
        <v>10899</v>
      </c>
      <c r="E20" s="15">
        <v>1021</v>
      </c>
      <c r="F20" s="15">
        <v>1053</v>
      </c>
      <c r="G20" s="15">
        <v>1052</v>
      </c>
      <c r="H20" s="15">
        <v>12</v>
      </c>
      <c r="I20" s="15">
        <v>12</v>
      </c>
      <c r="J20" s="15">
        <v>0</v>
      </c>
      <c r="K20" s="15" t="s">
        <v>235</v>
      </c>
      <c r="L20" s="15">
        <v>0.5</v>
      </c>
      <c r="M20" s="15" t="s">
        <v>649</v>
      </c>
      <c r="N20" s="15" t="s">
        <v>235</v>
      </c>
      <c r="O20" s="15">
        <v>11</v>
      </c>
      <c r="P20" s="15">
        <v>33</v>
      </c>
      <c r="Q20" s="15" t="s">
        <v>235</v>
      </c>
      <c r="R20" s="15" t="s">
        <v>235</v>
      </c>
      <c r="S20" s="15" t="s">
        <v>235</v>
      </c>
      <c r="T20" s="15" t="s">
        <v>235</v>
      </c>
      <c r="U20" s="15">
        <v>1</v>
      </c>
      <c r="V20" s="15" t="s">
        <v>235</v>
      </c>
      <c r="W20" s="15">
        <v>1</v>
      </c>
      <c r="X20" s="15">
        <v>5</v>
      </c>
      <c r="Y20" s="15">
        <v>1016</v>
      </c>
      <c r="Z20" s="15">
        <v>1022</v>
      </c>
      <c r="AA20" s="15" t="s">
        <v>235</v>
      </c>
      <c r="AB20" s="15" t="s">
        <v>451</v>
      </c>
    </row>
    <row r="21" spans="1:28">
      <c r="A21" s="15" t="s">
        <v>452</v>
      </c>
      <c r="B21" s="166" t="str">
        <f t="shared" si="0"/>
        <v>340</v>
      </c>
      <c r="C21" s="15">
        <v>33</v>
      </c>
      <c r="D21" s="15">
        <v>10899</v>
      </c>
      <c r="E21" s="15">
        <v>1021</v>
      </c>
      <c r="F21" s="15">
        <v>1053</v>
      </c>
      <c r="G21" s="15">
        <v>1052</v>
      </c>
      <c r="H21" s="15">
        <v>10359</v>
      </c>
      <c r="I21" s="15">
        <v>25901859</v>
      </c>
      <c r="J21" s="15">
        <v>0</v>
      </c>
      <c r="K21" s="15" t="s">
        <v>235</v>
      </c>
      <c r="L21" s="15">
        <v>0.5</v>
      </c>
      <c r="M21" s="15" t="s">
        <v>649</v>
      </c>
      <c r="N21" s="15" t="s">
        <v>235</v>
      </c>
      <c r="O21" s="15">
        <v>11</v>
      </c>
      <c r="P21" s="15">
        <v>35</v>
      </c>
      <c r="Q21" s="15" t="s">
        <v>235</v>
      </c>
      <c r="R21" s="15" t="s">
        <v>235</v>
      </c>
      <c r="S21" s="15" t="s">
        <v>235</v>
      </c>
      <c r="T21" s="15" t="s">
        <v>235</v>
      </c>
      <c r="U21" s="15">
        <v>1</v>
      </c>
      <c r="V21" s="15" t="s">
        <v>235</v>
      </c>
      <c r="W21" s="15">
        <v>1</v>
      </c>
      <c r="X21" s="15">
        <v>5</v>
      </c>
      <c r="Y21" s="15">
        <v>1016</v>
      </c>
      <c r="Z21" s="15">
        <v>1022</v>
      </c>
      <c r="AA21" s="15" t="s">
        <v>235</v>
      </c>
      <c r="AB21" s="15" t="s">
        <v>452</v>
      </c>
    </row>
    <row r="22" spans="1:28">
      <c r="A22" s="15" t="s">
        <v>705</v>
      </c>
      <c r="B22" s="166" t="str">
        <f t="shared" si="0"/>
        <v>340</v>
      </c>
      <c r="C22" s="15">
        <v>33</v>
      </c>
      <c r="D22" s="15">
        <v>1015</v>
      </c>
      <c r="E22" s="15">
        <v>1023</v>
      </c>
      <c r="F22" s="15">
        <v>1025</v>
      </c>
      <c r="G22" s="15">
        <v>1027</v>
      </c>
      <c r="H22" s="15">
        <v>183</v>
      </c>
      <c r="I22" s="15">
        <v>183</v>
      </c>
      <c r="J22" s="15">
        <v>0</v>
      </c>
      <c r="K22" s="15" t="s">
        <v>235</v>
      </c>
      <c r="L22" s="15">
        <v>0.5</v>
      </c>
      <c r="M22" s="15" t="s">
        <v>649</v>
      </c>
      <c r="N22" s="15" t="s">
        <v>235</v>
      </c>
      <c r="O22" s="15">
        <v>11</v>
      </c>
      <c r="P22" s="15">
        <v>33</v>
      </c>
      <c r="Q22" s="15" t="s">
        <v>235</v>
      </c>
      <c r="R22" s="15" t="s">
        <v>235</v>
      </c>
      <c r="S22" s="15" t="s">
        <v>235</v>
      </c>
      <c r="T22" s="15" t="s">
        <v>235</v>
      </c>
      <c r="U22" s="15">
        <v>1</v>
      </c>
      <c r="V22" s="15" t="s">
        <v>235</v>
      </c>
      <c r="W22" s="15">
        <v>1</v>
      </c>
      <c r="X22" s="15">
        <v>12</v>
      </c>
      <c r="Y22" s="15">
        <v>1044</v>
      </c>
      <c r="Z22" s="15">
        <v>1049</v>
      </c>
      <c r="AA22" s="15" t="s">
        <v>235</v>
      </c>
      <c r="AB22" s="15" t="s">
        <v>705</v>
      </c>
    </row>
    <row r="23" spans="1:28">
      <c r="A23" s="15" t="s">
        <v>704</v>
      </c>
      <c r="B23" s="166" t="str">
        <f t="shared" si="0"/>
        <v>340</v>
      </c>
      <c r="C23" s="15">
        <v>33</v>
      </c>
      <c r="D23" s="15">
        <v>1014</v>
      </c>
      <c r="E23" s="15">
        <v>1019</v>
      </c>
      <c r="F23" s="15">
        <v>1053</v>
      </c>
      <c r="G23" s="15">
        <v>1052</v>
      </c>
      <c r="H23" s="15">
        <v>188</v>
      </c>
      <c r="I23" s="15">
        <v>188</v>
      </c>
      <c r="J23" s="15">
        <v>0</v>
      </c>
      <c r="K23" s="15" t="s">
        <v>235</v>
      </c>
      <c r="L23" s="15">
        <v>0.5</v>
      </c>
      <c r="M23" s="15" t="s">
        <v>649</v>
      </c>
      <c r="N23" s="15" t="s">
        <v>235</v>
      </c>
      <c r="O23" s="15">
        <v>11</v>
      </c>
      <c r="P23" s="15">
        <v>31</v>
      </c>
      <c r="Q23" s="15" t="s">
        <v>235</v>
      </c>
      <c r="R23" s="15" t="s">
        <v>235</v>
      </c>
      <c r="S23" s="15" t="s">
        <v>235</v>
      </c>
      <c r="T23" s="15" t="s">
        <v>235</v>
      </c>
      <c r="U23" s="15">
        <v>1</v>
      </c>
      <c r="V23" s="15" t="s">
        <v>235</v>
      </c>
      <c r="W23" s="15">
        <v>1</v>
      </c>
      <c r="X23" s="15">
        <v>5</v>
      </c>
      <c r="Y23" s="15">
        <v>1043</v>
      </c>
      <c r="Z23" s="15">
        <v>1047</v>
      </c>
      <c r="AA23" s="15" t="s">
        <v>235</v>
      </c>
      <c r="AB23" s="15" t="s">
        <v>704</v>
      </c>
    </row>
    <row r="24" spans="1:28">
      <c r="A24" s="15" t="s">
        <v>703</v>
      </c>
      <c r="B24" s="166" t="str">
        <f t="shared" si="0"/>
        <v>340</v>
      </c>
      <c r="C24" s="15">
        <v>33</v>
      </c>
      <c r="D24" s="15">
        <v>1014</v>
      </c>
      <c r="E24" s="15">
        <v>1019</v>
      </c>
      <c r="F24" s="15">
        <v>1053</v>
      </c>
      <c r="G24" s="15">
        <v>1052</v>
      </c>
      <c r="H24" s="15">
        <v>189</v>
      </c>
      <c r="I24" s="15">
        <v>189</v>
      </c>
      <c r="J24" s="15">
        <v>0</v>
      </c>
      <c r="K24" s="15" t="s">
        <v>235</v>
      </c>
      <c r="L24" s="15">
        <v>0.5</v>
      </c>
      <c r="M24" s="15" t="s">
        <v>649</v>
      </c>
      <c r="N24" s="15" t="s">
        <v>235</v>
      </c>
      <c r="O24" s="15">
        <v>11</v>
      </c>
      <c r="P24" s="15">
        <v>33</v>
      </c>
      <c r="Q24" s="15" t="s">
        <v>235</v>
      </c>
      <c r="R24" s="15" t="s">
        <v>235</v>
      </c>
      <c r="S24" s="15" t="s">
        <v>235</v>
      </c>
      <c r="T24" s="15" t="s">
        <v>235</v>
      </c>
      <c r="U24" s="15">
        <v>1</v>
      </c>
      <c r="V24" s="15" t="s">
        <v>235</v>
      </c>
      <c r="W24" s="15">
        <v>1</v>
      </c>
      <c r="X24" s="15">
        <v>5</v>
      </c>
      <c r="Y24" s="15">
        <v>1043</v>
      </c>
      <c r="Z24" s="15">
        <v>1047</v>
      </c>
      <c r="AA24" s="15" t="s">
        <v>235</v>
      </c>
      <c r="AB24" s="15" t="s">
        <v>703</v>
      </c>
    </row>
    <row r="25" spans="1:28">
      <c r="A25" s="15" t="s">
        <v>702</v>
      </c>
      <c r="B25" s="166" t="str">
        <f t="shared" si="0"/>
        <v>340</v>
      </c>
      <c r="C25" s="15">
        <v>33</v>
      </c>
      <c r="D25" s="15">
        <v>1014</v>
      </c>
      <c r="E25" s="15">
        <v>1019</v>
      </c>
      <c r="F25" s="15">
        <v>1053</v>
      </c>
      <c r="G25" s="15">
        <v>1052</v>
      </c>
      <c r="H25" s="15">
        <v>190</v>
      </c>
      <c r="I25" s="15">
        <v>190</v>
      </c>
      <c r="J25" s="15">
        <v>0</v>
      </c>
      <c r="K25" s="15" t="s">
        <v>235</v>
      </c>
      <c r="L25" s="15">
        <v>0.5</v>
      </c>
      <c r="M25" s="15" t="s">
        <v>649</v>
      </c>
      <c r="N25" s="15" t="s">
        <v>235</v>
      </c>
      <c r="O25" s="15">
        <v>11</v>
      </c>
      <c r="P25" s="15">
        <v>33</v>
      </c>
      <c r="Q25" s="15" t="s">
        <v>235</v>
      </c>
      <c r="R25" s="15" t="s">
        <v>235</v>
      </c>
      <c r="S25" s="15" t="s">
        <v>235</v>
      </c>
      <c r="T25" s="15" t="s">
        <v>235</v>
      </c>
      <c r="U25" s="15">
        <v>1</v>
      </c>
      <c r="V25" s="15" t="s">
        <v>235</v>
      </c>
      <c r="W25" s="15">
        <v>1</v>
      </c>
      <c r="X25" s="15">
        <v>5</v>
      </c>
      <c r="Y25" s="15">
        <v>1043</v>
      </c>
      <c r="Z25" s="15">
        <v>1047</v>
      </c>
      <c r="AA25" s="15" t="s">
        <v>235</v>
      </c>
      <c r="AB25" s="15" t="s">
        <v>702</v>
      </c>
    </row>
    <row r="26" spans="1:28">
      <c r="A26" s="15" t="s">
        <v>453</v>
      </c>
      <c r="B26" s="166" t="str">
        <f t="shared" si="0"/>
        <v>341</v>
      </c>
      <c r="C26" s="15">
        <v>33</v>
      </c>
      <c r="D26" s="15">
        <v>10899</v>
      </c>
      <c r="E26" s="15">
        <v>1021</v>
      </c>
      <c r="F26" s="15">
        <v>1053</v>
      </c>
      <c r="G26" s="15">
        <v>1052</v>
      </c>
      <c r="H26" s="15">
        <v>13</v>
      </c>
      <c r="I26" s="15">
        <v>13</v>
      </c>
      <c r="J26" s="15">
        <v>0</v>
      </c>
      <c r="K26" s="15" t="s">
        <v>235</v>
      </c>
      <c r="L26" s="15">
        <v>0.5</v>
      </c>
      <c r="M26" s="15" t="s">
        <v>649</v>
      </c>
      <c r="N26" s="15" t="s">
        <v>235</v>
      </c>
      <c r="O26" s="15">
        <v>12</v>
      </c>
      <c r="P26" s="15">
        <v>27</v>
      </c>
      <c r="Q26" s="15" t="s">
        <v>235</v>
      </c>
      <c r="R26" s="15" t="s">
        <v>235</v>
      </c>
      <c r="S26" s="15" t="s">
        <v>235</v>
      </c>
      <c r="T26" s="15" t="s">
        <v>235</v>
      </c>
      <c r="U26" s="15">
        <v>1</v>
      </c>
      <c r="V26" s="15" t="s">
        <v>235</v>
      </c>
      <c r="W26" s="15">
        <v>1</v>
      </c>
      <c r="X26" s="15">
        <v>5</v>
      </c>
      <c r="Y26" s="15">
        <v>1016</v>
      </c>
      <c r="Z26" s="15">
        <v>1022</v>
      </c>
      <c r="AA26" s="15" t="s">
        <v>235</v>
      </c>
      <c r="AB26" s="15" t="s">
        <v>453</v>
      </c>
    </row>
    <row r="27" spans="1:28">
      <c r="A27" s="15" t="s">
        <v>454</v>
      </c>
      <c r="B27" s="166" t="str">
        <f t="shared" si="0"/>
        <v>341</v>
      </c>
      <c r="C27" s="15">
        <v>33</v>
      </c>
      <c r="D27" s="15">
        <v>10899</v>
      </c>
      <c r="E27" s="15">
        <v>1021</v>
      </c>
      <c r="F27" s="15">
        <v>1053</v>
      </c>
      <c r="G27" s="15">
        <v>1052</v>
      </c>
      <c r="H27" s="15">
        <v>14</v>
      </c>
      <c r="I27" s="15">
        <v>14</v>
      </c>
      <c r="J27" s="15">
        <v>0</v>
      </c>
      <c r="K27" s="15" t="s">
        <v>235</v>
      </c>
      <c r="L27" s="15">
        <v>0.5</v>
      </c>
      <c r="M27" s="15" t="s">
        <v>649</v>
      </c>
      <c r="N27" s="15" t="s">
        <v>235</v>
      </c>
      <c r="O27" s="15">
        <v>12</v>
      </c>
      <c r="P27" s="15">
        <v>27</v>
      </c>
      <c r="Q27" s="15" t="s">
        <v>235</v>
      </c>
      <c r="R27" s="15" t="s">
        <v>235</v>
      </c>
      <c r="S27" s="15" t="s">
        <v>235</v>
      </c>
      <c r="T27" s="15" t="s">
        <v>235</v>
      </c>
      <c r="U27" s="15">
        <v>1</v>
      </c>
      <c r="V27" s="15" t="s">
        <v>235</v>
      </c>
      <c r="W27" s="15">
        <v>1</v>
      </c>
      <c r="X27" s="15">
        <v>5</v>
      </c>
      <c r="Y27" s="15">
        <v>1016</v>
      </c>
      <c r="Z27" s="15">
        <v>1022</v>
      </c>
      <c r="AA27" s="15" t="s">
        <v>235</v>
      </c>
      <c r="AB27" s="15" t="s">
        <v>454</v>
      </c>
    </row>
    <row r="28" spans="1:28">
      <c r="A28" s="15" t="s">
        <v>455</v>
      </c>
      <c r="B28" s="166" t="str">
        <f t="shared" si="0"/>
        <v>341</v>
      </c>
      <c r="C28" s="15">
        <v>33</v>
      </c>
      <c r="D28" s="15">
        <v>10899</v>
      </c>
      <c r="E28" s="15">
        <v>1021</v>
      </c>
      <c r="F28" s="15">
        <v>1053</v>
      </c>
      <c r="G28" s="15">
        <v>1052</v>
      </c>
      <c r="H28" s="15">
        <v>15</v>
      </c>
      <c r="I28" s="15">
        <v>15</v>
      </c>
      <c r="J28" s="15">
        <v>0</v>
      </c>
      <c r="K28" s="15" t="s">
        <v>235</v>
      </c>
      <c r="L28" s="15">
        <v>0.5</v>
      </c>
      <c r="M28" s="15" t="s">
        <v>649</v>
      </c>
      <c r="N28" s="15" t="s">
        <v>235</v>
      </c>
      <c r="O28" s="15">
        <v>12</v>
      </c>
      <c r="P28" s="15">
        <v>52</v>
      </c>
      <c r="Q28" s="15" t="s">
        <v>235</v>
      </c>
      <c r="R28" s="15" t="s">
        <v>235</v>
      </c>
      <c r="S28" s="15" t="s">
        <v>235</v>
      </c>
      <c r="T28" s="15" t="s">
        <v>235</v>
      </c>
      <c r="U28" s="15">
        <v>1</v>
      </c>
      <c r="V28" s="15" t="s">
        <v>235</v>
      </c>
      <c r="W28" s="15">
        <v>1</v>
      </c>
      <c r="X28" s="15">
        <v>5</v>
      </c>
      <c r="Y28" s="15">
        <v>1016</v>
      </c>
      <c r="Z28" s="15">
        <v>1022</v>
      </c>
      <c r="AA28" s="15" t="s">
        <v>235</v>
      </c>
      <c r="AB28" s="15" t="s">
        <v>455</v>
      </c>
    </row>
    <row r="29" spans="1:28">
      <c r="A29" s="15" t="s">
        <v>456</v>
      </c>
      <c r="B29" s="166" t="str">
        <f t="shared" si="0"/>
        <v>341</v>
      </c>
      <c r="C29" s="15">
        <v>33</v>
      </c>
      <c r="D29" s="15">
        <v>10899</v>
      </c>
      <c r="E29" s="15">
        <v>1021</v>
      </c>
      <c r="F29" s="15">
        <v>1053</v>
      </c>
      <c r="G29" s="15">
        <v>1052</v>
      </c>
      <c r="H29" s="15">
        <v>16</v>
      </c>
      <c r="I29" s="15">
        <v>16</v>
      </c>
      <c r="J29" s="15">
        <v>0</v>
      </c>
      <c r="K29" s="15" t="s">
        <v>235</v>
      </c>
      <c r="L29" s="15">
        <v>0.5</v>
      </c>
      <c r="M29" s="15" t="s">
        <v>649</v>
      </c>
      <c r="N29" s="15" t="s">
        <v>235</v>
      </c>
      <c r="O29" s="15">
        <v>12</v>
      </c>
      <c r="P29" s="15">
        <v>70</v>
      </c>
      <c r="Q29" s="15" t="s">
        <v>235</v>
      </c>
      <c r="R29" s="15" t="s">
        <v>235</v>
      </c>
      <c r="S29" s="15" t="s">
        <v>235</v>
      </c>
      <c r="T29" s="15" t="s">
        <v>235</v>
      </c>
      <c r="U29" s="15">
        <v>1</v>
      </c>
      <c r="V29" s="15" t="s">
        <v>235</v>
      </c>
      <c r="W29" s="15">
        <v>1</v>
      </c>
      <c r="X29" s="15">
        <v>5</v>
      </c>
      <c r="Y29" s="15">
        <v>1016</v>
      </c>
      <c r="Z29" s="15">
        <v>1022</v>
      </c>
      <c r="AA29" s="15" t="s">
        <v>235</v>
      </c>
      <c r="AB29" s="15" t="s">
        <v>456</v>
      </c>
    </row>
    <row r="30" spans="1:28">
      <c r="A30" s="15" t="s">
        <v>457</v>
      </c>
      <c r="B30" s="166" t="str">
        <f t="shared" si="0"/>
        <v>341</v>
      </c>
      <c r="C30" s="15">
        <v>33</v>
      </c>
      <c r="D30" s="15">
        <v>10899</v>
      </c>
      <c r="E30" s="15">
        <v>1021</v>
      </c>
      <c r="F30" s="15">
        <v>1053</v>
      </c>
      <c r="G30" s="15">
        <v>1052</v>
      </c>
      <c r="H30" s="15">
        <v>17</v>
      </c>
      <c r="I30" s="15">
        <v>17</v>
      </c>
      <c r="J30" s="15">
        <v>0</v>
      </c>
      <c r="K30" s="15" t="s">
        <v>235</v>
      </c>
      <c r="L30" s="15">
        <v>0.5</v>
      </c>
      <c r="M30" s="15" t="s">
        <v>649</v>
      </c>
      <c r="N30" s="15" t="s">
        <v>235</v>
      </c>
      <c r="O30" s="15">
        <v>12</v>
      </c>
      <c r="P30" s="15">
        <v>70</v>
      </c>
      <c r="Q30" s="15" t="s">
        <v>235</v>
      </c>
      <c r="R30" s="15" t="s">
        <v>235</v>
      </c>
      <c r="S30" s="15" t="s">
        <v>235</v>
      </c>
      <c r="T30" s="15" t="s">
        <v>235</v>
      </c>
      <c r="U30" s="15">
        <v>1</v>
      </c>
      <c r="V30" s="15" t="s">
        <v>235</v>
      </c>
      <c r="W30" s="15">
        <v>1</v>
      </c>
      <c r="X30" s="15">
        <v>5</v>
      </c>
      <c r="Y30" s="15">
        <v>1016</v>
      </c>
      <c r="Z30" s="15">
        <v>1022</v>
      </c>
      <c r="AA30" s="15" t="s">
        <v>235</v>
      </c>
      <c r="AB30" s="15" t="s">
        <v>457</v>
      </c>
    </row>
    <row r="31" spans="1:28">
      <c r="A31" s="15" t="s">
        <v>458</v>
      </c>
      <c r="B31" s="166" t="str">
        <f t="shared" si="0"/>
        <v>341</v>
      </c>
      <c r="C31" s="15">
        <v>33</v>
      </c>
      <c r="D31" s="15">
        <v>10899</v>
      </c>
      <c r="E31" s="15">
        <v>1021</v>
      </c>
      <c r="F31" s="15">
        <v>1053</v>
      </c>
      <c r="G31" s="15">
        <v>1052</v>
      </c>
      <c r="H31" s="15">
        <v>18</v>
      </c>
      <c r="I31" s="15">
        <v>18</v>
      </c>
      <c r="J31" s="15">
        <v>0</v>
      </c>
      <c r="K31" s="15" t="s">
        <v>235</v>
      </c>
      <c r="L31" s="15">
        <v>0.5</v>
      </c>
      <c r="M31" s="15" t="s">
        <v>649</v>
      </c>
      <c r="N31" s="15" t="s">
        <v>235</v>
      </c>
      <c r="O31" s="15">
        <v>12</v>
      </c>
      <c r="P31" s="15">
        <v>70</v>
      </c>
      <c r="Q31" s="15" t="s">
        <v>235</v>
      </c>
      <c r="R31" s="15" t="s">
        <v>235</v>
      </c>
      <c r="S31" s="15" t="s">
        <v>235</v>
      </c>
      <c r="T31" s="15" t="s">
        <v>235</v>
      </c>
      <c r="U31" s="15">
        <v>1</v>
      </c>
      <c r="V31" s="15" t="s">
        <v>235</v>
      </c>
      <c r="W31" s="15">
        <v>1</v>
      </c>
      <c r="X31" s="15">
        <v>5</v>
      </c>
      <c r="Y31" s="15">
        <v>1016</v>
      </c>
      <c r="Z31" s="15">
        <v>1022</v>
      </c>
      <c r="AA31" s="15" t="s">
        <v>235</v>
      </c>
      <c r="AB31" s="15" t="s">
        <v>458</v>
      </c>
    </row>
    <row r="32" spans="1:28">
      <c r="A32" s="15" t="s">
        <v>459</v>
      </c>
      <c r="B32" s="166" t="str">
        <f t="shared" si="0"/>
        <v>341</v>
      </c>
      <c r="C32" s="15">
        <v>33</v>
      </c>
      <c r="D32" s="15">
        <v>10899</v>
      </c>
      <c r="E32" s="15">
        <v>1021</v>
      </c>
      <c r="F32" s="15">
        <v>1053</v>
      </c>
      <c r="G32" s="15">
        <v>1052</v>
      </c>
      <c r="H32" s="15">
        <v>19</v>
      </c>
      <c r="I32" s="15">
        <v>19</v>
      </c>
      <c r="J32" s="15">
        <v>0</v>
      </c>
      <c r="K32" s="15" t="s">
        <v>235</v>
      </c>
      <c r="L32" s="15">
        <v>0.5</v>
      </c>
      <c r="M32" s="15" t="s">
        <v>649</v>
      </c>
      <c r="N32" s="15" t="s">
        <v>235</v>
      </c>
      <c r="O32" s="15">
        <v>12</v>
      </c>
      <c r="P32" s="15">
        <v>70</v>
      </c>
      <c r="Q32" s="15" t="s">
        <v>235</v>
      </c>
      <c r="R32" s="15" t="s">
        <v>235</v>
      </c>
      <c r="S32" s="15" t="s">
        <v>235</v>
      </c>
      <c r="T32" s="15" t="s">
        <v>235</v>
      </c>
      <c r="U32" s="15">
        <v>1</v>
      </c>
      <c r="V32" s="15" t="s">
        <v>235</v>
      </c>
      <c r="W32" s="15">
        <v>1</v>
      </c>
      <c r="X32" s="15">
        <v>5</v>
      </c>
      <c r="Y32" s="15">
        <v>1016</v>
      </c>
      <c r="Z32" s="15">
        <v>1022</v>
      </c>
      <c r="AA32" s="15" t="s">
        <v>235</v>
      </c>
      <c r="AB32" s="15" t="s">
        <v>459</v>
      </c>
    </row>
    <row r="33" spans="1:28">
      <c r="A33" s="15" t="s">
        <v>460</v>
      </c>
      <c r="B33" s="166" t="str">
        <f t="shared" si="0"/>
        <v>341</v>
      </c>
      <c r="C33" s="15">
        <v>33</v>
      </c>
      <c r="D33" s="15">
        <v>10899</v>
      </c>
      <c r="E33" s="15">
        <v>1021</v>
      </c>
      <c r="F33" s="15">
        <v>1053</v>
      </c>
      <c r="G33" s="15">
        <v>1052</v>
      </c>
      <c r="H33" s="15">
        <v>20</v>
      </c>
      <c r="I33" s="15">
        <v>20</v>
      </c>
      <c r="J33" s="15">
        <v>0</v>
      </c>
      <c r="K33" s="15" t="s">
        <v>235</v>
      </c>
      <c r="L33" s="15">
        <v>0.5</v>
      </c>
      <c r="M33" s="15" t="s">
        <v>649</v>
      </c>
      <c r="N33" s="15" t="s">
        <v>235</v>
      </c>
      <c r="O33" s="15">
        <v>12</v>
      </c>
      <c r="P33" s="15">
        <v>70</v>
      </c>
      <c r="Q33" s="15" t="s">
        <v>235</v>
      </c>
      <c r="R33" s="15" t="s">
        <v>235</v>
      </c>
      <c r="S33" s="15" t="s">
        <v>235</v>
      </c>
      <c r="T33" s="15" t="s">
        <v>235</v>
      </c>
      <c r="U33" s="15">
        <v>1</v>
      </c>
      <c r="V33" s="15" t="s">
        <v>235</v>
      </c>
      <c r="W33" s="15">
        <v>1</v>
      </c>
      <c r="X33" s="15">
        <v>5</v>
      </c>
      <c r="Y33" s="15">
        <v>1016</v>
      </c>
      <c r="Z33" s="15">
        <v>1022</v>
      </c>
      <c r="AA33" s="15" t="s">
        <v>235</v>
      </c>
      <c r="AB33" s="15" t="s">
        <v>460</v>
      </c>
    </row>
    <row r="34" spans="1:28">
      <c r="A34" s="15" t="s">
        <v>701</v>
      </c>
      <c r="B34" s="166" t="str">
        <f t="shared" si="0"/>
        <v>341</v>
      </c>
      <c r="C34" s="15">
        <v>33</v>
      </c>
      <c r="D34" s="15">
        <v>1014</v>
      </c>
      <c r="E34" s="15">
        <v>1019</v>
      </c>
      <c r="F34" s="15">
        <v>1053</v>
      </c>
      <c r="G34" s="15">
        <v>1052</v>
      </c>
      <c r="H34" s="15">
        <v>191</v>
      </c>
      <c r="I34" s="15">
        <v>191</v>
      </c>
      <c r="J34" s="15">
        <v>0</v>
      </c>
      <c r="K34" s="15" t="s">
        <v>235</v>
      </c>
      <c r="L34" s="15">
        <v>0.5</v>
      </c>
      <c r="M34" s="15" t="s">
        <v>649</v>
      </c>
      <c r="N34" s="15" t="s">
        <v>235</v>
      </c>
      <c r="O34" s="15">
        <v>12</v>
      </c>
      <c r="P34" s="15">
        <v>70</v>
      </c>
      <c r="Q34" s="15" t="s">
        <v>235</v>
      </c>
      <c r="R34" s="15" t="s">
        <v>235</v>
      </c>
      <c r="S34" s="15" t="s">
        <v>235</v>
      </c>
      <c r="T34" s="15" t="s">
        <v>235</v>
      </c>
      <c r="U34" s="15">
        <v>1</v>
      </c>
      <c r="V34" s="15" t="s">
        <v>235</v>
      </c>
      <c r="W34" s="15">
        <v>1</v>
      </c>
      <c r="X34" s="15">
        <v>5</v>
      </c>
      <c r="Y34" s="15">
        <v>1043</v>
      </c>
      <c r="Z34" s="15">
        <v>1047</v>
      </c>
      <c r="AA34" s="15" t="s">
        <v>235</v>
      </c>
      <c r="AB34" s="15" t="s">
        <v>701</v>
      </c>
    </row>
    <row r="35" spans="1:28">
      <c r="A35" s="15" t="s">
        <v>700</v>
      </c>
      <c r="B35" s="166" t="str">
        <f t="shared" si="0"/>
        <v>341</v>
      </c>
      <c r="C35" s="15">
        <v>33</v>
      </c>
      <c r="D35" s="15">
        <v>1014</v>
      </c>
      <c r="E35" s="15">
        <v>1019</v>
      </c>
      <c r="F35" s="15">
        <v>1053</v>
      </c>
      <c r="G35" s="15">
        <v>1052</v>
      </c>
      <c r="H35" s="15">
        <v>192</v>
      </c>
      <c r="I35" s="15">
        <v>192</v>
      </c>
      <c r="J35" s="15">
        <v>0</v>
      </c>
      <c r="K35" s="15" t="s">
        <v>235</v>
      </c>
      <c r="L35" s="15">
        <v>0.5</v>
      </c>
      <c r="M35" s="15" t="s">
        <v>649</v>
      </c>
      <c r="N35" s="15" t="s">
        <v>235</v>
      </c>
      <c r="O35" s="15">
        <v>12</v>
      </c>
      <c r="P35" s="15">
        <v>70</v>
      </c>
      <c r="Q35" s="15" t="s">
        <v>235</v>
      </c>
      <c r="R35" s="15" t="s">
        <v>235</v>
      </c>
      <c r="S35" s="15" t="s">
        <v>235</v>
      </c>
      <c r="T35" s="15" t="s">
        <v>235</v>
      </c>
      <c r="U35" s="15">
        <v>1</v>
      </c>
      <c r="V35" s="15" t="s">
        <v>235</v>
      </c>
      <c r="W35" s="15">
        <v>1</v>
      </c>
      <c r="X35" s="15">
        <v>5</v>
      </c>
      <c r="Y35" s="15">
        <v>1043</v>
      </c>
      <c r="Z35" s="15">
        <v>1047</v>
      </c>
      <c r="AA35" s="15" t="s">
        <v>235</v>
      </c>
      <c r="AB35" s="15" t="s">
        <v>700</v>
      </c>
    </row>
    <row r="36" spans="1:28">
      <c r="A36" s="15" t="s">
        <v>461</v>
      </c>
      <c r="B36" s="166" t="str">
        <f t="shared" si="0"/>
        <v>342</v>
      </c>
      <c r="C36" s="15">
        <v>33</v>
      </c>
      <c r="D36" s="15">
        <v>10899</v>
      </c>
      <c r="E36" s="15">
        <v>1021</v>
      </c>
      <c r="F36" s="15">
        <v>1053</v>
      </c>
      <c r="G36" s="15">
        <v>1052</v>
      </c>
      <c r="H36" s="15">
        <v>21</v>
      </c>
      <c r="I36" s="15">
        <v>21</v>
      </c>
      <c r="J36" s="15">
        <v>0</v>
      </c>
      <c r="K36" s="15" t="s">
        <v>235</v>
      </c>
      <c r="L36" s="15">
        <v>0.5</v>
      </c>
      <c r="M36" s="15" t="s">
        <v>649</v>
      </c>
      <c r="N36" s="15" t="s">
        <v>235</v>
      </c>
      <c r="O36" s="15">
        <v>13</v>
      </c>
      <c r="P36" s="15">
        <v>70</v>
      </c>
      <c r="Q36" s="15" t="s">
        <v>235</v>
      </c>
      <c r="R36" s="15" t="s">
        <v>235</v>
      </c>
      <c r="S36" s="15" t="s">
        <v>235</v>
      </c>
      <c r="T36" s="15" t="s">
        <v>235</v>
      </c>
      <c r="U36" s="15">
        <v>1</v>
      </c>
      <c r="V36" s="15" t="s">
        <v>235</v>
      </c>
      <c r="W36" s="15">
        <v>1</v>
      </c>
      <c r="X36" s="15">
        <v>5</v>
      </c>
      <c r="Y36" s="15">
        <v>1016</v>
      </c>
      <c r="Z36" s="15">
        <v>1022</v>
      </c>
      <c r="AA36" s="15" t="s">
        <v>235</v>
      </c>
      <c r="AB36" s="15" t="s">
        <v>461</v>
      </c>
    </row>
    <row r="37" spans="1:28">
      <c r="A37" s="15" t="s">
        <v>462</v>
      </c>
      <c r="B37" s="166" t="str">
        <f t="shared" si="0"/>
        <v>342</v>
      </c>
      <c r="C37" s="15">
        <v>33</v>
      </c>
      <c r="D37" s="15">
        <v>10899</v>
      </c>
      <c r="E37" s="15">
        <v>1021</v>
      </c>
      <c r="F37" s="15">
        <v>1053</v>
      </c>
      <c r="G37" s="15">
        <v>1052</v>
      </c>
      <c r="H37" s="15">
        <v>22</v>
      </c>
      <c r="I37" s="15">
        <v>22</v>
      </c>
      <c r="J37" s="15">
        <v>0</v>
      </c>
      <c r="K37" s="15" t="s">
        <v>235</v>
      </c>
      <c r="L37" s="15">
        <v>0.5</v>
      </c>
      <c r="M37" s="15" t="s">
        <v>649</v>
      </c>
      <c r="N37" s="15" t="s">
        <v>235</v>
      </c>
      <c r="O37" s="15">
        <v>13</v>
      </c>
      <c r="P37" s="15">
        <v>70</v>
      </c>
      <c r="Q37" s="15" t="s">
        <v>235</v>
      </c>
      <c r="R37" s="15" t="s">
        <v>235</v>
      </c>
      <c r="S37" s="15" t="s">
        <v>235</v>
      </c>
      <c r="T37" s="15" t="s">
        <v>235</v>
      </c>
      <c r="U37" s="15">
        <v>1</v>
      </c>
      <c r="V37" s="15" t="s">
        <v>235</v>
      </c>
      <c r="W37" s="15">
        <v>1</v>
      </c>
      <c r="X37" s="15">
        <v>5</v>
      </c>
      <c r="Y37" s="15">
        <v>1016</v>
      </c>
      <c r="Z37" s="15">
        <v>1022</v>
      </c>
      <c r="AA37" s="15" t="s">
        <v>235</v>
      </c>
      <c r="AB37" s="15" t="s">
        <v>462</v>
      </c>
    </row>
    <row r="38" spans="1:28">
      <c r="A38" s="15" t="s">
        <v>463</v>
      </c>
      <c r="B38" s="166" t="str">
        <f t="shared" si="0"/>
        <v>342</v>
      </c>
      <c r="C38" s="15">
        <v>33</v>
      </c>
      <c r="D38" s="15">
        <v>10899</v>
      </c>
      <c r="E38" s="15">
        <v>1021</v>
      </c>
      <c r="F38" s="15">
        <v>1053</v>
      </c>
      <c r="G38" s="15">
        <v>1052</v>
      </c>
      <c r="H38" s="15">
        <v>23</v>
      </c>
      <c r="I38" s="15">
        <v>23</v>
      </c>
      <c r="J38" s="15">
        <v>0</v>
      </c>
      <c r="K38" s="15" t="s">
        <v>235</v>
      </c>
      <c r="L38" s="15">
        <v>0.5</v>
      </c>
      <c r="M38" s="15" t="s">
        <v>649</v>
      </c>
      <c r="N38" s="15" t="s">
        <v>235</v>
      </c>
      <c r="O38" s="15">
        <v>13</v>
      </c>
      <c r="P38" s="15">
        <v>70</v>
      </c>
      <c r="Q38" s="15" t="s">
        <v>235</v>
      </c>
      <c r="R38" s="15" t="s">
        <v>235</v>
      </c>
      <c r="S38" s="15" t="s">
        <v>235</v>
      </c>
      <c r="T38" s="15" t="s">
        <v>235</v>
      </c>
      <c r="U38" s="15">
        <v>1</v>
      </c>
      <c r="V38" s="15" t="s">
        <v>235</v>
      </c>
      <c r="W38" s="15">
        <v>1</v>
      </c>
      <c r="X38" s="15">
        <v>5</v>
      </c>
      <c r="Y38" s="15">
        <v>1016</v>
      </c>
      <c r="Z38" s="15">
        <v>1022</v>
      </c>
      <c r="AA38" s="15" t="s">
        <v>235</v>
      </c>
      <c r="AB38" s="15" t="s">
        <v>463</v>
      </c>
    </row>
    <row r="39" spans="1:28">
      <c r="A39" s="15" t="s">
        <v>464</v>
      </c>
      <c r="B39" s="166" t="str">
        <f t="shared" si="0"/>
        <v>342</v>
      </c>
      <c r="C39" s="15">
        <v>33</v>
      </c>
      <c r="D39" s="15">
        <v>10899</v>
      </c>
      <c r="E39" s="15">
        <v>1021</v>
      </c>
      <c r="F39" s="15">
        <v>1053</v>
      </c>
      <c r="G39" s="15">
        <v>1052</v>
      </c>
      <c r="H39" s="15">
        <v>24</v>
      </c>
      <c r="I39" s="15">
        <v>24</v>
      </c>
      <c r="J39" s="15">
        <v>0</v>
      </c>
      <c r="K39" s="15" t="s">
        <v>235</v>
      </c>
      <c r="L39" s="15">
        <v>0.5</v>
      </c>
      <c r="M39" s="15" t="s">
        <v>649</v>
      </c>
      <c r="N39" s="15" t="s">
        <v>235</v>
      </c>
      <c r="O39" s="15">
        <v>13</v>
      </c>
      <c r="P39" s="15">
        <v>70</v>
      </c>
      <c r="Q39" s="15" t="s">
        <v>235</v>
      </c>
      <c r="R39" s="15" t="s">
        <v>235</v>
      </c>
      <c r="S39" s="15" t="s">
        <v>235</v>
      </c>
      <c r="T39" s="15" t="s">
        <v>235</v>
      </c>
      <c r="U39" s="15">
        <v>1</v>
      </c>
      <c r="V39" s="15" t="s">
        <v>235</v>
      </c>
      <c r="W39" s="15">
        <v>1</v>
      </c>
      <c r="X39" s="15">
        <v>5</v>
      </c>
      <c r="Y39" s="15">
        <v>1016</v>
      </c>
      <c r="Z39" s="15">
        <v>1022</v>
      </c>
      <c r="AA39" s="15" t="s">
        <v>235</v>
      </c>
      <c r="AB39" s="15" t="s">
        <v>464</v>
      </c>
    </row>
    <row r="40" spans="1:28">
      <c r="A40" s="15" t="s">
        <v>699</v>
      </c>
      <c r="B40" s="166" t="str">
        <f t="shared" si="0"/>
        <v>342</v>
      </c>
      <c r="C40" s="15">
        <v>33</v>
      </c>
      <c r="D40" s="15">
        <v>1014</v>
      </c>
      <c r="E40" s="15">
        <v>1019</v>
      </c>
      <c r="F40" s="15">
        <v>1053</v>
      </c>
      <c r="G40" s="15">
        <v>1052</v>
      </c>
      <c r="H40" s="15">
        <v>193</v>
      </c>
      <c r="I40" s="15">
        <v>193</v>
      </c>
      <c r="J40" s="15">
        <v>0</v>
      </c>
      <c r="K40" s="15" t="s">
        <v>235</v>
      </c>
      <c r="L40" s="15">
        <v>0.5</v>
      </c>
      <c r="M40" s="15" t="s">
        <v>649</v>
      </c>
      <c r="N40" s="15" t="s">
        <v>235</v>
      </c>
      <c r="O40" s="15">
        <v>13</v>
      </c>
      <c r="P40" s="15">
        <v>70</v>
      </c>
      <c r="Q40" s="15" t="s">
        <v>235</v>
      </c>
      <c r="R40" s="15" t="s">
        <v>235</v>
      </c>
      <c r="S40" s="15" t="s">
        <v>235</v>
      </c>
      <c r="T40" s="15" t="s">
        <v>235</v>
      </c>
      <c r="U40" s="15">
        <v>1</v>
      </c>
      <c r="V40" s="15" t="s">
        <v>235</v>
      </c>
      <c r="W40" s="15">
        <v>1</v>
      </c>
      <c r="X40" s="15">
        <v>5</v>
      </c>
      <c r="Y40" s="15">
        <v>1043</v>
      </c>
      <c r="Z40" s="15">
        <v>1047</v>
      </c>
      <c r="AA40" s="15" t="s">
        <v>235</v>
      </c>
      <c r="AB40" s="15" t="s">
        <v>699</v>
      </c>
    </row>
    <row r="41" spans="1:28">
      <c r="A41" s="15" t="s">
        <v>698</v>
      </c>
      <c r="B41" s="166" t="str">
        <f t="shared" si="0"/>
        <v>342</v>
      </c>
      <c r="C41" s="15">
        <v>33</v>
      </c>
      <c r="D41" s="15">
        <v>1014</v>
      </c>
      <c r="E41" s="15">
        <v>1019</v>
      </c>
      <c r="F41" s="15">
        <v>1053</v>
      </c>
      <c r="G41" s="15">
        <v>1052</v>
      </c>
      <c r="H41" s="15">
        <v>194</v>
      </c>
      <c r="I41" s="15">
        <v>194</v>
      </c>
      <c r="J41" s="15">
        <v>0</v>
      </c>
      <c r="K41" s="15" t="s">
        <v>235</v>
      </c>
      <c r="L41" s="15">
        <v>0.5</v>
      </c>
      <c r="M41" s="15" t="s">
        <v>649</v>
      </c>
      <c r="N41" s="15" t="s">
        <v>235</v>
      </c>
      <c r="O41" s="15">
        <v>13</v>
      </c>
      <c r="P41" s="15">
        <v>70</v>
      </c>
      <c r="Q41" s="15" t="s">
        <v>235</v>
      </c>
      <c r="R41" s="15" t="s">
        <v>235</v>
      </c>
      <c r="S41" s="15" t="s">
        <v>235</v>
      </c>
      <c r="T41" s="15" t="s">
        <v>235</v>
      </c>
      <c r="U41" s="15">
        <v>1</v>
      </c>
      <c r="V41" s="15" t="s">
        <v>235</v>
      </c>
      <c r="W41" s="15">
        <v>1</v>
      </c>
      <c r="X41" s="15">
        <v>5</v>
      </c>
      <c r="Y41" s="15">
        <v>1043</v>
      </c>
      <c r="Z41" s="15">
        <v>1047</v>
      </c>
      <c r="AA41" s="15" t="s">
        <v>235</v>
      </c>
      <c r="AB41" s="15" t="s">
        <v>698</v>
      </c>
    </row>
    <row r="42" spans="1:28">
      <c r="A42" s="15" t="s">
        <v>465</v>
      </c>
      <c r="B42" s="166" t="str">
        <f t="shared" si="0"/>
        <v>343</v>
      </c>
      <c r="C42" s="15">
        <v>33</v>
      </c>
      <c r="D42" s="15">
        <v>10899</v>
      </c>
      <c r="E42" s="15">
        <v>1021</v>
      </c>
      <c r="F42" s="15">
        <v>1053</v>
      </c>
      <c r="G42" s="15">
        <v>1052</v>
      </c>
      <c r="H42" s="15">
        <v>10153</v>
      </c>
      <c r="I42" s="15">
        <v>17532718</v>
      </c>
      <c r="J42" s="15">
        <v>0</v>
      </c>
      <c r="K42" s="15" t="s">
        <v>235</v>
      </c>
      <c r="L42" s="15">
        <v>0.5</v>
      </c>
      <c r="M42" s="15" t="s">
        <v>649</v>
      </c>
      <c r="N42" s="15" t="s">
        <v>235</v>
      </c>
      <c r="O42" s="15">
        <v>14</v>
      </c>
      <c r="P42" s="15">
        <v>28</v>
      </c>
      <c r="Q42" s="15" t="s">
        <v>235</v>
      </c>
      <c r="R42" s="15" t="s">
        <v>235</v>
      </c>
      <c r="S42" s="15" t="s">
        <v>235</v>
      </c>
      <c r="T42" s="15" t="s">
        <v>235</v>
      </c>
      <c r="U42" s="15">
        <v>1</v>
      </c>
      <c r="V42" s="15" t="s">
        <v>235</v>
      </c>
      <c r="W42" s="15">
        <v>1</v>
      </c>
      <c r="X42" s="15">
        <v>5</v>
      </c>
      <c r="Y42" s="15">
        <v>1016</v>
      </c>
      <c r="Z42" s="15">
        <v>1022</v>
      </c>
      <c r="AA42" s="15" t="s">
        <v>235</v>
      </c>
      <c r="AB42" s="15" t="s">
        <v>465</v>
      </c>
    </row>
    <row r="43" spans="1:28">
      <c r="A43" s="15" t="s">
        <v>466</v>
      </c>
      <c r="B43" s="166" t="str">
        <f t="shared" si="0"/>
        <v>343</v>
      </c>
      <c r="C43" s="15">
        <v>33</v>
      </c>
      <c r="D43" s="15">
        <v>10899</v>
      </c>
      <c r="E43" s="15">
        <v>1021</v>
      </c>
      <c r="F43" s="15">
        <v>1053</v>
      </c>
      <c r="G43" s="15">
        <v>1052</v>
      </c>
      <c r="H43" s="15">
        <v>10151</v>
      </c>
      <c r="I43" s="15">
        <v>17458685</v>
      </c>
      <c r="J43" s="15">
        <v>0</v>
      </c>
      <c r="K43" s="15" t="s">
        <v>235</v>
      </c>
      <c r="L43" s="15">
        <v>0.5</v>
      </c>
      <c r="M43" s="15" t="s">
        <v>649</v>
      </c>
      <c r="N43" s="15" t="s">
        <v>235</v>
      </c>
      <c r="O43" s="15">
        <v>14</v>
      </c>
      <c r="P43" s="15">
        <v>28</v>
      </c>
      <c r="Q43" s="15" t="s">
        <v>235</v>
      </c>
      <c r="R43" s="15" t="s">
        <v>235</v>
      </c>
      <c r="S43" s="15" t="s">
        <v>235</v>
      </c>
      <c r="T43" s="15" t="s">
        <v>235</v>
      </c>
      <c r="U43" s="15">
        <v>1</v>
      </c>
      <c r="V43" s="15" t="s">
        <v>235</v>
      </c>
      <c r="W43" s="15">
        <v>1</v>
      </c>
      <c r="X43" s="15">
        <v>5</v>
      </c>
      <c r="Y43" s="15">
        <v>1016</v>
      </c>
      <c r="Z43" s="15">
        <v>1022</v>
      </c>
      <c r="AA43" s="15" t="s">
        <v>235</v>
      </c>
      <c r="AB43" s="15" t="s">
        <v>466</v>
      </c>
    </row>
    <row r="44" spans="1:28">
      <c r="A44" s="15" t="s">
        <v>467</v>
      </c>
      <c r="B44" s="166" t="str">
        <f t="shared" si="0"/>
        <v>343</v>
      </c>
      <c r="C44" s="15">
        <v>33</v>
      </c>
      <c r="D44" s="15">
        <v>10899</v>
      </c>
      <c r="E44" s="15">
        <v>1021</v>
      </c>
      <c r="F44" s="15">
        <v>1053</v>
      </c>
      <c r="G44" s="15">
        <v>1052</v>
      </c>
      <c r="H44" s="15">
        <v>25</v>
      </c>
      <c r="I44" s="15">
        <v>25</v>
      </c>
      <c r="J44" s="15">
        <v>0</v>
      </c>
      <c r="K44" s="15" t="s">
        <v>235</v>
      </c>
      <c r="L44" s="15">
        <v>0.5</v>
      </c>
      <c r="M44" s="15" t="s">
        <v>649</v>
      </c>
      <c r="N44" s="15" t="s">
        <v>235</v>
      </c>
      <c r="O44" s="15">
        <v>14</v>
      </c>
      <c r="P44" s="15">
        <v>27</v>
      </c>
      <c r="Q44" s="15" t="s">
        <v>235</v>
      </c>
      <c r="R44" s="15" t="s">
        <v>235</v>
      </c>
      <c r="S44" s="15" t="s">
        <v>235</v>
      </c>
      <c r="T44" s="15" t="s">
        <v>235</v>
      </c>
      <c r="U44" s="15">
        <v>1</v>
      </c>
      <c r="V44" s="15" t="s">
        <v>235</v>
      </c>
      <c r="W44" s="15">
        <v>1</v>
      </c>
      <c r="X44" s="15">
        <v>5</v>
      </c>
      <c r="Y44" s="15">
        <v>1016</v>
      </c>
      <c r="Z44" s="15">
        <v>1022</v>
      </c>
      <c r="AA44" s="15" t="s">
        <v>235</v>
      </c>
      <c r="AB44" s="15" t="s">
        <v>467</v>
      </c>
    </row>
    <row r="45" spans="1:28">
      <c r="A45" s="15" t="s">
        <v>468</v>
      </c>
      <c r="B45" s="166" t="str">
        <f t="shared" si="0"/>
        <v>343</v>
      </c>
      <c r="C45" s="15">
        <v>33</v>
      </c>
      <c r="D45" s="15">
        <v>10899</v>
      </c>
      <c r="E45" s="15">
        <v>1021</v>
      </c>
      <c r="F45" s="15">
        <v>1053</v>
      </c>
      <c r="G45" s="15">
        <v>1052</v>
      </c>
      <c r="H45" s="15">
        <v>26</v>
      </c>
      <c r="I45" s="15">
        <v>26</v>
      </c>
      <c r="J45" s="15">
        <v>0</v>
      </c>
      <c r="K45" s="15" t="s">
        <v>235</v>
      </c>
      <c r="L45" s="15">
        <v>0.5</v>
      </c>
      <c r="M45" s="15" t="s">
        <v>649</v>
      </c>
      <c r="N45" s="15" t="s">
        <v>235</v>
      </c>
      <c r="O45" s="15">
        <v>14</v>
      </c>
      <c r="P45" s="15">
        <v>70</v>
      </c>
      <c r="Q45" s="15" t="s">
        <v>235</v>
      </c>
      <c r="R45" s="15" t="s">
        <v>235</v>
      </c>
      <c r="S45" s="15" t="s">
        <v>235</v>
      </c>
      <c r="T45" s="15" t="s">
        <v>235</v>
      </c>
      <c r="U45" s="15">
        <v>1</v>
      </c>
      <c r="V45" s="15" t="s">
        <v>235</v>
      </c>
      <c r="W45" s="15">
        <v>1</v>
      </c>
      <c r="X45" s="15">
        <v>5</v>
      </c>
      <c r="Y45" s="15">
        <v>1016</v>
      </c>
      <c r="Z45" s="15">
        <v>1022</v>
      </c>
      <c r="AA45" s="15" t="s">
        <v>235</v>
      </c>
      <c r="AB45" s="15" t="s">
        <v>468</v>
      </c>
    </row>
    <row r="46" spans="1:28">
      <c r="A46" s="15" t="s">
        <v>469</v>
      </c>
      <c r="B46" s="166" t="str">
        <f t="shared" si="0"/>
        <v>343</v>
      </c>
      <c r="C46" s="15">
        <v>33</v>
      </c>
      <c r="D46" s="15">
        <v>10899</v>
      </c>
      <c r="E46" s="15">
        <v>1021</v>
      </c>
      <c r="F46" s="15">
        <v>1053</v>
      </c>
      <c r="G46" s="15">
        <v>1052</v>
      </c>
      <c r="H46" s="15">
        <v>27</v>
      </c>
      <c r="I46" s="15">
        <v>27</v>
      </c>
      <c r="J46" s="15">
        <v>0</v>
      </c>
      <c r="K46" s="15" t="s">
        <v>235</v>
      </c>
      <c r="L46" s="15">
        <v>0.5</v>
      </c>
      <c r="M46" s="15" t="s">
        <v>649</v>
      </c>
      <c r="N46" s="15" t="s">
        <v>235</v>
      </c>
      <c r="O46" s="15">
        <v>14</v>
      </c>
      <c r="P46" s="15">
        <v>70</v>
      </c>
      <c r="Q46" s="15" t="s">
        <v>235</v>
      </c>
      <c r="R46" s="15" t="s">
        <v>235</v>
      </c>
      <c r="S46" s="15" t="s">
        <v>235</v>
      </c>
      <c r="T46" s="15" t="s">
        <v>235</v>
      </c>
      <c r="U46" s="15">
        <v>1</v>
      </c>
      <c r="V46" s="15" t="s">
        <v>235</v>
      </c>
      <c r="W46" s="15">
        <v>1</v>
      </c>
      <c r="X46" s="15">
        <v>5</v>
      </c>
      <c r="Y46" s="15">
        <v>1016</v>
      </c>
      <c r="Z46" s="15">
        <v>1022</v>
      </c>
      <c r="AA46" s="15" t="s">
        <v>235</v>
      </c>
      <c r="AB46" s="15" t="s">
        <v>469</v>
      </c>
    </row>
    <row r="47" spans="1:28">
      <c r="A47" s="15" t="s">
        <v>470</v>
      </c>
      <c r="B47" s="166" t="str">
        <f t="shared" si="0"/>
        <v>343</v>
      </c>
      <c r="C47" s="15">
        <v>33</v>
      </c>
      <c r="D47" s="15">
        <v>10899</v>
      </c>
      <c r="E47" s="15">
        <v>1021</v>
      </c>
      <c r="F47" s="15">
        <v>1053</v>
      </c>
      <c r="G47" s="15">
        <v>1052</v>
      </c>
      <c r="H47" s="15">
        <v>28</v>
      </c>
      <c r="I47" s="15">
        <v>28</v>
      </c>
      <c r="J47" s="15">
        <v>0</v>
      </c>
      <c r="K47" s="15" t="s">
        <v>235</v>
      </c>
      <c r="L47" s="15">
        <v>0.5</v>
      </c>
      <c r="M47" s="15" t="s">
        <v>649</v>
      </c>
      <c r="N47" s="15" t="s">
        <v>235</v>
      </c>
      <c r="O47" s="15">
        <v>14</v>
      </c>
      <c r="P47" s="15">
        <v>70</v>
      </c>
      <c r="Q47" s="15" t="s">
        <v>235</v>
      </c>
      <c r="R47" s="15" t="s">
        <v>235</v>
      </c>
      <c r="S47" s="15" t="s">
        <v>235</v>
      </c>
      <c r="T47" s="15" t="s">
        <v>235</v>
      </c>
      <c r="U47" s="15">
        <v>1</v>
      </c>
      <c r="V47" s="15" t="s">
        <v>235</v>
      </c>
      <c r="W47" s="15">
        <v>1</v>
      </c>
      <c r="X47" s="15">
        <v>5</v>
      </c>
      <c r="Y47" s="15">
        <v>1016</v>
      </c>
      <c r="Z47" s="15">
        <v>1022</v>
      </c>
      <c r="AA47" s="15" t="s">
        <v>235</v>
      </c>
      <c r="AB47" s="15" t="s">
        <v>470</v>
      </c>
    </row>
    <row r="48" spans="1:28">
      <c r="A48" s="15" t="s">
        <v>471</v>
      </c>
      <c r="B48" s="166" t="str">
        <f t="shared" si="0"/>
        <v>343</v>
      </c>
      <c r="C48" s="15">
        <v>33</v>
      </c>
      <c r="D48" s="15">
        <v>10899</v>
      </c>
      <c r="E48" s="15">
        <v>1021</v>
      </c>
      <c r="F48" s="15">
        <v>1053</v>
      </c>
      <c r="G48" s="15">
        <v>1052</v>
      </c>
      <c r="H48" s="15">
        <v>29</v>
      </c>
      <c r="I48" s="15">
        <v>29</v>
      </c>
      <c r="J48" s="15">
        <v>0</v>
      </c>
      <c r="K48" s="15" t="s">
        <v>235</v>
      </c>
      <c r="L48" s="15">
        <v>0.5</v>
      </c>
      <c r="M48" s="15" t="s">
        <v>649</v>
      </c>
      <c r="N48" s="15" t="s">
        <v>235</v>
      </c>
      <c r="O48" s="15">
        <v>14</v>
      </c>
      <c r="P48" s="15">
        <v>70</v>
      </c>
      <c r="Q48" s="15" t="s">
        <v>235</v>
      </c>
      <c r="R48" s="15" t="s">
        <v>235</v>
      </c>
      <c r="S48" s="15" t="s">
        <v>235</v>
      </c>
      <c r="T48" s="15" t="s">
        <v>235</v>
      </c>
      <c r="U48" s="15">
        <v>1</v>
      </c>
      <c r="V48" s="15" t="s">
        <v>235</v>
      </c>
      <c r="W48" s="15">
        <v>1</v>
      </c>
      <c r="X48" s="15">
        <v>5</v>
      </c>
      <c r="Y48" s="15">
        <v>1016</v>
      </c>
      <c r="Z48" s="15">
        <v>1022</v>
      </c>
      <c r="AA48" s="15" t="s">
        <v>235</v>
      </c>
      <c r="AB48" s="15" t="s">
        <v>471</v>
      </c>
    </row>
    <row r="49" spans="1:28">
      <c r="A49" s="15" t="s">
        <v>697</v>
      </c>
      <c r="B49" s="166" t="str">
        <f t="shared" si="0"/>
        <v>343</v>
      </c>
      <c r="C49" s="15">
        <v>33</v>
      </c>
      <c r="D49" s="15">
        <v>1014</v>
      </c>
      <c r="E49" s="15">
        <v>1019</v>
      </c>
      <c r="F49" s="15">
        <v>1053</v>
      </c>
      <c r="G49" s="15">
        <v>1052</v>
      </c>
      <c r="H49" s="15">
        <v>195</v>
      </c>
      <c r="I49" s="15">
        <v>195</v>
      </c>
      <c r="J49" s="15">
        <v>0</v>
      </c>
      <c r="K49" s="15" t="s">
        <v>235</v>
      </c>
      <c r="L49" s="15">
        <v>0.5</v>
      </c>
      <c r="M49" s="15" t="s">
        <v>649</v>
      </c>
      <c r="N49" s="15" t="s">
        <v>235</v>
      </c>
      <c r="O49" s="15">
        <v>14</v>
      </c>
      <c r="P49" s="15">
        <v>70</v>
      </c>
      <c r="Q49" s="15" t="s">
        <v>235</v>
      </c>
      <c r="R49" s="15" t="s">
        <v>235</v>
      </c>
      <c r="S49" s="15" t="s">
        <v>235</v>
      </c>
      <c r="T49" s="15" t="s">
        <v>235</v>
      </c>
      <c r="U49" s="15">
        <v>1</v>
      </c>
      <c r="V49" s="15" t="s">
        <v>235</v>
      </c>
      <c r="W49" s="15">
        <v>1</v>
      </c>
      <c r="X49" s="15">
        <v>5</v>
      </c>
      <c r="Y49" s="15">
        <v>1043</v>
      </c>
      <c r="Z49" s="15">
        <v>1047</v>
      </c>
      <c r="AA49" s="15" t="s">
        <v>235</v>
      </c>
      <c r="AB49" s="15" t="s">
        <v>697</v>
      </c>
    </row>
    <row r="50" spans="1:28">
      <c r="A50" s="15" t="s">
        <v>696</v>
      </c>
      <c r="B50" s="166" t="str">
        <f t="shared" si="0"/>
        <v>343</v>
      </c>
      <c r="C50" s="15">
        <v>33</v>
      </c>
      <c r="D50" s="15">
        <v>1014</v>
      </c>
      <c r="E50" s="15">
        <v>1019</v>
      </c>
      <c r="F50" s="15">
        <v>1053</v>
      </c>
      <c r="G50" s="15">
        <v>1052</v>
      </c>
      <c r="H50" s="15">
        <v>196</v>
      </c>
      <c r="I50" s="15">
        <v>196</v>
      </c>
      <c r="J50" s="15">
        <v>0</v>
      </c>
      <c r="K50" s="15" t="s">
        <v>235</v>
      </c>
      <c r="L50" s="15">
        <v>0.5</v>
      </c>
      <c r="M50" s="15" t="s">
        <v>649</v>
      </c>
      <c r="N50" s="15" t="s">
        <v>235</v>
      </c>
      <c r="O50" s="15">
        <v>14</v>
      </c>
      <c r="P50" s="15">
        <v>70</v>
      </c>
      <c r="Q50" s="15" t="s">
        <v>235</v>
      </c>
      <c r="R50" s="15" t="s">
        <v>235</v>
      </c>
      <c r="S50" s="15" t="s">
        <v>235</v>
      </c>
      <c r="T50" s="15" t="s">
        <v>235</v>
      </c>
      <c r="U50" s="15">
        <v>1</v>
      </c>
      <c r="V50" s="15" t="s">
        <v>235</v>
      </c>
      <c r="W50" s="15">
        <v>1</v>
      </c>
      <c r="X50" s="15">
        <v>5</v>
      </c>
      <c r="Y50" s="15">
        <v>1043</v>
      </c>
      <c r="Z50" s="15">
        <v>1047</v>
      </c>
      <c r="AA50" s="15" t="s">
        <v>235</v>
      </c>
      <c r="AB50" s="15" t="s">
        <v>696</v>
      </c>
    </row>
    <row r="51" spans="1:28">
      <c r="A51" s="15" t="s">
        <v>472</v>
      </c>
      <c r="B51" s="166" t="str">
        <f t="shared" si="0"/>
        <v>344</v>
      </c>
      <c r="C51" s="15">
        <v>33</v>
      </c>
      <c r="D51" s="15">
        <v>10899</v>
      </c>
      <c r="E51" s="15">
        <v>1021</v>
      </c>
      <c r="F51" s="15">
        <v>1053</v>
      </c>
      <c r="G51" s="15">
        <v>1052</v>
      </c>
      <c r="H51" s="15">
        <v>30</v>
      </c>
      <c r="I51" s="15">
        <v>30</v>
      </c>
      <c r="J51" s="15">
        <v>0</v>
      </c>
      <c r="K51" s="15" t="s">
        <v>235</v>
      </c>
      <c r="L51" s="15">
        <v>0.5</v>
      </c>
      <c r="M51" s="15" t="s">
        <v>649</v>
      </c>
      <c r="N51" s="15" t="s">
        <v>235</v>
      </c>
      <c r="O51" s="15">
        <v>15</v>
      </c>
      <c r="P51" s="15">
        <v>27</v>
      </c>
      <c r="Q51" s="15" t="s">
        <v>235</v>
      </c>
      <c r="R51" s="15" t="s">
        <v>235</v>
      </c>
      <c r="S51" s="15" t="s">
        <v>235</v>
      </c>
      <c r="T51" s="15" t="s">
        <v>235</v>
      </c>
      <c r="U51" s="15">
        <v>1</v>
      </c>
      <c r="V51" s="15" t="s">
        <v>235</v>
      </c>
      <c r="W51" s="15">
        <v>1</v>
      </c>
      <c r="X51" s="15">
        <v>5</v>
      </c>
      <c r="Y51" s="15">
        <v>1016</v>
      </c>
      <c r="Z51" s="15">
        <v>1022</v>
      </c>
      <c r="AA51" s="15" t="s">
        <v>235</v>
      </c>
      <c r="AB51" s="15" t="s">
        <v>472</v>
      </c>
    </row>
    <row r="52" spans="1:28">
      <c r="A52" s="15" t="s">
        <v>473</v>
      </c>
      <c r="B52" s="166" t="str">
        <f t="shared" si="0"/>
        <v>344</v>
      </c>
      <c r="C52" s="15">
        <v>33</v>
      </c>
      <c r="D52" s="15">
        <v>10899</v>
      </c>
      <c r="E52" s="15">
        <v>1021</v>
      </c>
      <c r="F52" s="15">
        <v>1053</v>
      </c>
      <c r="G52" s="15">
        <v>1052</v>
      </c>
      <c r="H52" s="15">
        <v>31</v>
      </c>
      <c r="I52" s="15">
        <v>31</v>
      </c>
      <c r="J52" s="15">
        <v>0</v>
      </c>
      <c r="K52" s="15" t="s">
        <v>235</v>
      </c>
      <c r="L52" s="15">
        <v>0.5</v>
      </c>
      <c r="M52" s="15" t="s">
        <v>649</v>
      </c>
      <c r="N52" s="15" t="s">
        <v>235</v>
      </c>
      <c r="O52" s="15">
        <v>15</v>
      </c>
      <c r="P52" s="15">
        <v>27</v>
      </c>
      <c r="Q52" s="15" t="s">
        <v>235</v>
      </c>
      <c r="R52" s="15" t="s">
        <v>235</v>
      </c>
      <c r="S52" s="15" t="s">
        <v>235</v>
      </c>
      <c r="T52" s="15" t="s">
        <v>235</v>
      </c>
      <c r="U52" s="15">
        <v>1</v>
      </c>
      <c r="V52" s="15" t="s">
        <v>235</v>
      </c>
      <c r="W52" s="15">
        <v>1</v>
      </c>
      <c r="X52" s="15">
        <v>5</v>
      </c>
      <c r="Y52" s="15">
        <v>1016</v>
      </c>
      <c r="Z52" s="15">
        <v>1022</v>
      </c>
      <c r="AA52" s="15" t="s">
        <v>235</v>
      </c>
      <c r="AB52" s="15" t="s">
        <v>473</v>
      </c>
    </row>
    <row r="53" spans="1:28">
      <c r="A53" s="15" t="s">
        <v>474</v>
      </c>
      <c r="B53" s="166" t="str">
        <f t="shared" si="0"/>
        <v>344</v>
      </c>
      <c r="C53" s="15">
        <v>33</v>
      </c>
      <c r="D53" s="15">
        <v>10899</v>
      </c>
      <c r="E53" s="15">
        <v>1021</v>
      </c>
      <c r="F53" s="15">
        <v>1053</v>
      </c>
      <c r="G53" s="15">
        <v>1052</v>
      </c>
      <c r="H53" s="15">
        <v>32</v>
      </c>
      <c r="I53" s="15">
        <v>32</v>
      </c>
      <c r="J53" s="15">
        <v>0</v>
      </c>
      <c r="K53" s="15" t="s">
        <v>235</v>
      </c>
      <c r="L53" s="15">
        <v>0.5</v>
      </c>
      <c r="M53" s="15" t="s">
        <v>649</v>
      </c>
      <c r="N53" s="15" t="s">
        <v>235</v>
      </c>
      <c r="O53" s="15">
        <v>15</v>
      </c>
      <c r="P53" s="15">
        <v>52</v>
      </c>
      <c r="Q53" s="15" t="s">
        <v>235</v>
      </c>
      <c r="R53" s="15" t="s">
        <v>235</v>
      </c>
      <c r="S53" s="15" t="s">
        <v>235</v>
      </c>
      <c r="T53" s="15" t="s">
        <v>235</v>
      </c>
      <c r="U53" s="15">
        <v>1</v>
      </c>
      <c r="V53" s="15" t="s">
        <v>235</v>
      </c>
      <c r="W53" s="15">
        <v>1</v>
      </c>
      <c r="X53" s="15">
        <v>5</v>
      </c>
      <c r="Y53" s="15">
        <v>1016</v>
      </c>
      <c r="Z53" s="15">
        <v>1022</v>
      </c>
      <c r="AA53" s="15" t="s">
        <v>235</v>
      </c>
      <c r="AB53" s="15" t="s">
        <v>474</v>
      </c>
    </row>
    <row r="54" spans="1:28">
      <c r="A54" s="15" t="s">
        <v>475</v>
      </c>
      <c r="B54" s="166" t="str">
        <f t="shared" si="0"/>
        <v>344</v>
      </c>
      <c r="C54" s="15">
        <v>33</v>
      </c>
      <c r="D54" s="15">
        <v>10899</v>
      </c>
      <c r="E54" s="15">
        <v>1021</v>
      </c>
      <c r="F54" s="15">
        <v>1053</v>
      </c>
      <c r="G54" s="15">
        <v>1052</v>
      </c>
      <c r="H54" s="15">
        <v>33</v>
      </c>
      <c r="I54" s="15">
        <v>33</v>
      </c>
      <c r="J54" s="15">
        <v>0</v>
      </c>
      <c r="K54" s="15" t="s">
        <v>235</v>
      </c>
      <c r="L54" s="15">
        <v>0.5</v>
      </c>
      <c r="M54" s="15" t="s">
        <v>649</v>
      </c>
      <c r="N54" s="15" t="s">
        <v>235</v>
      </c>
      <c r="O54" s="15">
        <v>15</v>
      </c>
      <c r="P54" s="15">
        <v>52</v>
      </c>
      <c r="Q54" s="15" t="s">
        <v>235</v>
      </c>
      <c r="R54" s="15" t="s">
        <v>235</v>
      </c>
      <c r="S54" s="15" t="s">
        <v>235</v>
      </c>
      <c r="T54" s="15" t="s">
        <v>235</v>
      </c>
      <c r="U54" s="15">
        <v>1</v>
      </c>
      <c r="V54" s="15" t="s">
        <v>235</v>
      </c>
      <c r="W54" s="15">
        <v>1</v>
      </c>
      <c r="X54" s="15">
        <v>5</v>
      </c>
      <c r="Y54" s="15">
        <v>1016</v>
      </c>
      <c r="Z54" s="15">
        <v>1022</v>
      </c>
      <c r="AA54" s="15" t="s">
        <v>235</v>
      </c>
      <c r="AB54" s="15" t="s">
        <v>475</v>
      </c>
    </row>
    <row r="55" spans="1:28">
      <c r="A55" s="15" t="s">
        <v>476</v>
      </c>
      <c r="B55" s="166" t="str">
        <f t="shared" si="0"/>
        <v>344</v>
      </c>
      <c r="C55" s="15">
        <v>33</v>
      </c>
      <c r="D55" s="15">
        <v>10899</v>
      </c>
      <c r="E55" s="15">
        <v>1021</v>
      </c>
      <c r="F55" s="15">
        <v>1053</v>
      </c>
      <c r="G55" s="15">
        <v>1052</v>
      </c>
      <c r="H55" s="15">
        <v>34</v>
      </c>
      <c r="I55" s="15">
        <v>34</v>
      </c>
      <c r="J55" s="15">
        <v>0</v>
      </c>
      <c r="K55" s="15" t="s">
        <v>235</v>
      </c>
      <c r="L55" s="15">
        <v>0.5</v>
      </c>
      <c r="M55" s="15" t="s">
        <v>649</v>
      </c>
      <c r="N55" s="15" t="s">
        <v>235</v>
      </c>
      <c r="O55" s="15">
        <v>15</v>
      </c>
      <c r="P55" s="15">
        <v>52</v>
      </c>
      <c r="Q55" s="15" t="s">
        <v>235</v>
      </c>
      <c r="R55" s="15" t="s">
        <v>235</v>
      </c>
      <c r="S55" s="15" t="s">
        <v>235</v>
      </c>
      <c r="T55" s="15" t="s">
        <v>235</v>
      </c>
      <c r="U55" s="15">
        <v>1</v>
      </c>
      <c r="V55" s="15" t="s">
        <v>235</v>
      </c>
      <c r="W55" s="15">
        <v>1</v>
      </c>
      <c r="X55" s="15">
        <v>5</v>
      </c>
      <c r="Y55" s="15">
        <v>1016</v>
      </c>
      <c r="Z55" s="15">
        <v>1022</v>
      </c>
      <c r="AA55" s="15" t="s">
        <v>235</v>
      </c>
      <c r="AB55" s="15" t="s">
        <v>476</v>
      </c>
    </row>
    <row r="56" spans="1:28">
      <c r="A56" s="15" t="s">
        <v>477</v>
      </c>
      <c r="B56" s="166" t="str">
        <f t="shared" si="0"/>
        <v>344</v>
      </c>
      <c r="C56" s="15">
        <v>33</v>
      </c>
      <c r="D56" s="15">
        <v>10899</v>
      </c>
      <c r="E56" s="15">
        <v>1021</v>
      </c>
      <c r="F56" s="15">
        <v>1053</v>
      </c>
      <c r="G56" s="15">
        <v>1052</v>
      </c>
      <c r="H56" s="15">
        <v>35</v>
      </c>
      <c r="I56" s="15">
        <v>35</v>
      </c>
      <c r="J56" s="15">
        <v>0</v>
      </c>
      <c r="K56" s="15" t="s">
        <v>235</v>
      </c>
      <c r="L56" s="15">
        <v>0.5</v>
      </c>
      <c r="M56" s="15" t="s">
        <v>649</v>
      </c>
      <c r="N56" s="15" t="s">
        <v>235</v>
      </c>
      <c r="O56" s="15">
        <v>15</v>
      </c>
      <c r="P56" s="15">
        <v>70</v>
      </c>
      <c r="Q56" s="15" t="s">
        <v>235</v>
      </c>
      <c r="R56" s="15" t="s">
        <v>235</v>
      </c>
      <c r="S56" s="15" t="s">
        <v>235</v>
      </c>
      <c r="T56" s="15" t="s">
        <v>235</v>
      </c>
      <c r="U56" s="15">
        <v>1</v>
      </c>
      <c r="V56" s="15" t="s">
        <v>235</v>
      </c>
      <c r="W56" s="15">
        <v>1</v>
      </c>
      <c r="X56" s="15">
        <v>5</v>
      </c>
      <c r="Y56" s="15">
        <v>1016</v>
      </c>
      <c r="Z56" s="15">
        <v>1022</v>
      </c>
      <c r="AA56" s="15" t="s">
        <v>235</v>
      </c>
      <c r="AB56" s="15" t="s">
        <v>477</v>
      </c>
    </row>
    <row r="57" spans="1:28">
      <c r="A57" s="15" t="s">
        <v>478</v>
      </c>
      <c r="B57" s="166" t="str">
        <f t="shared" si="0"/>
        <v>344</v>
      </c>
      <c r="C57" s="15">
        <v>33</v>
      </c>
      <c r="D57" s="15">
        <v>10899</v>
      </c>
      <c r="E57" s="15">
        <v>1021</v>
      </c>
      <c r="F57" s="15">
        <v>1053</v>
      </c>
      <c r="G57" s="15">
        <v>1052</v>
      </c>
      <c r="H57" s="15">
        <v>36</v>
      </c>
      <c r="I57" s="15">
        <v>36</v>
      </c>
      <c r="J57" s="15">
        <v>0</v>
      </c>
      <c r="K57" s="15" t="s">
        <v>235</v>
      </c>
      <c r="L57" s="15">
        <v>0.5</v>
      </c>
      <c r="M57" s="15" t="s">
        <v>649</v>
      </c>
      <c r="N57" s="15" t="s">
        <v>235</v>
      </c>
      <c r="O57" s="15">
        <v>15</v>
      </c>
      <c r="P57" s="15">
        <v>70</v>
      </c>
      <c r="Q57" s="15" t="s">
        <v>235</v>
      </c>
      <c r="R57" s="15" t="s">
        <v>235</v>
      </c>
      <c r="S57" s="15" t="s">
        <v>235</v>
      </c>
      <c r="T57" s="15" t="s">
        <v>235</v>
      </c>
      <c r="U57" s="15">
        <v>1</v>
      </c>
      <c r="V57" s="15" t="s">
        <v>235</v>
      </c>
      <c r="W57" s="15">
        <v>1</v>
      </c>
      <c r="X57" s="15">
        <v>5</v>
      </c>
      <c r="Y57" s="15">
        <v>1016</v>
      </c>
      <c r="Z57" s="15">
        <v>1022</v>
      </c>
      <c r="AA57" s="15" t="s">
        <v>235</v>
      </c>
      <c r="AB57" s="15" t="s">
        <v>478</v>
      </c>
    </row>
    <row r="58" spans="1:28">
      <c r="A58" s="15" t="s">
        <v>479</v>
      </c>
      <c r="B58" s="166" t="str">
        <f t="shared" si="0"/>
        <v>344</v>
      </c>
      <c r="C58" s="15">
        <v>33</v>
      </c>
      <c r="D58" s="15">
        <v>10899</v>
      </c>
      <c r="E58" s="15">
        <v>1021</v>
      </c>
      <c r="F58" s="15">
        <v>1053</v>
      </c>
      <c r="G58" s="15">
        <v>1052</v>
      </c>
      <c r="H58" s="15">
        <v>37</v>
      </c>
      <c r="I58" s="15">
        <v>37</v>
      </c>
      <c r="J58" s="15">
        <v>0</v>
      </c>
      <c r="K58" s="15" t="s">
        <v>235</v>
      </c>
      <c r="L58" s="15">
        <v>0.5</v>
      </c>
      <c r="M58" s="15" t="s">
        <v>649</v>
      </c>
      <c r="N58" s="15" t="s">
        <v>235</v>
      </c>
      <c r="O58" s="15">
        <v>15</v>
      </c>
      <c r="P58" s="15">
        <v>70</v>
      </c>
      <c r="Q58" s="15" t="s">
        <v>235</v>
      </c>
      <c r="R58" s="15" t="s">
        <v>235</v>
      </c>
      <c r="S58" s="15" t="s">
        <v>235</v>
      </c>
      <c r="T58" s="15" t="s">
        <v>235</v>
      </c>
      <c r="U58" s="15">
        <v>1</v>
      </c>
      <c r="V58" s="15" t="s">
        <v>235</v>
      </c>
      <c r="W58" s="15">
        <v>1</v>
      </c>
      <c r="X58" s="15">
        <v>5</v>
      </c>
      <c r="Y58" s="15">
        <v>1016</v>
      </c>
      <c r="Z58" s="15">
        <v>1022</v>
      </c>
      <c r="AA58" s="15" t="s">
        <v>235</v>
      </c>
      <c r="AB58" s="15" t="s">
        <v>479</v>
      </c>
    </row>
    <row r="59" spans="1:28">
      <c r="A59" s="15" t="s">
        <v>480</v>
      </c>
      <c r="B59" s="166" t="str">
        <f t="shared" si="0"/>
        <v>344</v>
      </c>
      <c r="C59" s="15">
        <v>33</v>
      </c>
      <c r="D59" s="15">
        <v>10899</v>
      </c>
      <c r="E59" s="15">
        <v>1021</v>
      </c>
      <c r="F59" s="15">
        <v>1053</v>
      </c>
      <c r="G59" s="15">
        <v>1052</v>
      </c>
      <c r="H59" s="15">
        <v>38</v>
      </c>
      <c r="I59" s="15">
        <v>38</v>
      </c>
      <c r="J59" s="15">
        <v>0</v>
      </c>
      <c r="K59" s="15" t="s">
        <v>235</v>
      </c>
      <c r="L59" s="15">
        <v>0.5</v>
      </c>
      <c r="M59" s="15" t="s">
        <v>649</v>
      </c>
      <c r="N59" s="15" t="s">
        <v>235</v>
      </c>
      <c r="O59" s="15">
        <v>15</v>
      </c>
      <c r="P59" s="15">
        <v>70</v>
      </c>
      <c r="Q59" s="15" t="s">
        <v>235</v>
      </c>
      <c r="R59" s="15" t="s">
        <v>235</v>
      </c>
      <c r="S59" s="15" t="s">
        <v>235</v>
      </c>
      <c r="T59" s="15" t="s">
        <v>235</v>
      </c>
      <c r="U59" s="15">
        <v>1</v>
      </c>
      <c r="V59" s="15" t="s">
        <v>235</v>
      </c>
      <c r="W59" s="15">
        <v>1</v>
      </c>
      <c r="X59" s="15">
        <v>5</v>
      </c>
      <c r="Y59" s="15">
        <v>1016</v>
      </c>
      <c r="Z59" s="15">
        <v>1022</v>
      </c>
      <c r="AA59" s="15" t="s">
        <v>235</v>
      </c>
      <c r="AB59" s="15" t="s">
        <v>480</v>
      </c>
    </row>
    <row r="60" spans="1:28">
      <c r="A60" s="15" t="s">
        <v>695</v>
      </c>
      <c r="B60" s="166" t="str">
        <f t="shared" si="0"/>
        <v>344</v>
      </c>
      <c r="C60" s="15">
        <v>33</v>
      </c>
      <c r="D60" s="15">
        <v>1014</v>
      </c>
      <c r="E60" s="15">
        <v>1019</v>
      </c>
      <c r="F60" s="15">
        <v>1053</v>
      </c>
      <c r="G60" s="15">
        <v>1052</v>
      </c>
      <c r="H60" s="15">
        <v>197</v>
      </c>
      <c r="I60" s="15">
        <v>197</v>
      </c>
      <c r="J60" s="15">
        <v>0</v>
      </c>
      <c r="K60" s="15" t="s">
        <v>235</v>
      </c>
      <c r="L60" s="15">
        <v>0.5</v>
      </c>
      <c r="M60" s="15" t="s">
        <v>649</v>
      </c>
      <c r="N60" s="15" t="s">
        <v>235</v>
      </c>
      <c r="O60" s="15">
        <v>15</v>
      </c>
      <c r="P60" s="15">
        <v>70</v>
      </c>
      <c r="Q60" s="15" t="s">
        <v>235</v>
      </c>
      <c r="R60" s="15" t="s">
        <v>235</v>
      </c>
      <c r="S60" s="15" t="s">
        <v>235</v>
      </c>
      <c r="T60" s="15" t="s">
        <v>235</v>
      </c>
      <c r="U60" s="15">
        <v>1</v>
      </c>
      <c r="V60" s="15" t="s">
        <v>235</v>
      </c>
      <c r="W60" s="15">
        <v>1</v>
      </c>
      <c r="X60" s="15">
        <v>5</v>
      </c>
      <c r="Y60" s="15">
        <v>1043</v>
      </c>
      <c r="Z60" s="15">
        <v>1047</v>
      </c>
      <c r="AA60" s="15" t="s">
        <v>235</v>
      </c>
      <c r="AB60" s="15" t="s">
        <v>695</v>
      </c>
    </row>
    <row r="61" spans="1:28">
      <c r="A61" s="15" t="s">
        <v>694</v>
      </c>
      <c r="B61" s="166" t="str">
        <f t="shared" si="0"/>
        <v>344</v>
      </c>
      <c r="C61" s="15">
        <v>33</v>
      </c>
      <c r="D61" s="15">
        <v>1014</v>
      </c>
      <c r="E61" s="15">
        <v>1019</v>
      </c>
      <c r="F61" s="15">
        <v>1053</v>
      </c>
      <c r="G61" s="15">
        <v>1052</v>
      </c>
      <c r="H61" s="15">
        <v>198</v>
      </c>
      <c r="I61" s="15">
        <v>198</v>
      </c>
      <c r="J61" s="15">
        <v>0</v>
      </c>
      <c r="K61" s="15" t="s">
        <v>235</v>
      </c>
      <c r="L61" s="15">
        <v>0.5</v>
      </c>
      <c r="M61" s="15" t="s">
        <v>649</v>
      </c>
      <c r="N61" s="15" t="s">
        <v>235</v>
      </c>
      <c r="O61" s="15">
        <v>15</v>
      </c>
      <c r="P61" s="15">
        <v>70</v>
      </c>
      <c r="Q61" s="15" t="s">
        <v>235</v>
      </c>
      <c r="R61" s="15" t="s">
        <v>235</v>
      </c>
      <c r="S61" s="15" t="s">
        <v>235</v>
      </c>
      <c r="T61" s="15" t="s">
        <v>235</v>
      </c>
      <c r="U61" s="15">
        <v>1</v>
      </c>
      <c r="V61" s="15" t="s">
        <v>235</v>
      </c>
      <c r="W61" s="15">
        <v>1</v>
      </c>
      <c r="X61" s="15">
        <v>5</v>
      </c>
      <c r="Y61" s="15">
        <v>1043</v>
      </c>
      <c r="Z61" s="15">
        <v>1047</v>
      </c>
      <c r="AA61" s="15" t="s">
        <v>235</v>
      </c>
      <c r="AB61" s="15" t="s">
        <v>694</v>
      </c>
    </row>
    <row r="62" spans="1:28">
      <c r="A62" s="15" t="s">
        <v>481</v>
      </c>
      <c r="B62" s="166" t="str">
        <f t="shared" si="0"/>
        <v>345</v>
      </c>
      <c r="C62" s="15">
        <v>33</v>
      </c>
      <c r="D62" s="15">
        <v>10899</v>
      </c>
      <c r="E62" s="15">
        <v>1021</v>
      </c>
      <c r="F62" s="15">
        <v>1053</v>
      </c>
      <c r="G62" s="15">
        <v>1052</v>
      </c>
      <c r="H62" s="15">
        <v>39</v>
      </c>
      <c r="I62" s="15">
        <v>39</v>
      </c>
      <c r="J62" s="15">
        <v>0</v>
      </c>
      <c r="K62" s="15" t="s">
        <v>235</v>
      </c>
      <c r="L62" s="15">
        <v>0.5</v>
      </c>
      <c r="M62" s="15" t="s">
        <v>649</v>
      </c>
      <c r="N62" s="15" t="s">
        <v>235</v>
      </c>
      <c r="O62" s="15">
        <v>16</v>
      </c>
      <c r="P62" s="15">
        <v>27</v>
      </c>
      <c r="Q62" s="15" t="s">
        <v>235</v>
      </c>
      <c r="R62" s="15" t="s">
        <v>235</v>
      </c>
      <c r="S62" s="15" t="s">
        <v>235</v>
      </c>
      <c r="T62" s="15" t="s">
        <v>235</v>
      </c>
      <c r="U62" s="15">
        <v>1</v>
      </c>
      <c r="V62" s="15" t="s">
        <v>235</v>
      </c>
      <c r="W62" s="15">
        <v>1</v>
      </c>
      <c r="X62" s="15">
        <v>5</v>
      </c>
      <c r="Y62" s="15">
        <v>1016</v>
      </c>
      <c r="Z62" s="15">
        <v>1022</v>
      </c>
      <c r="AA62" s="15" t="s">
        <v>235</v>
      </c>
      <c r="AB62" s="15" t="s">
        <v>481</v>
      </c>
    </row>
    <row r="63" spans="1:28">
      <c r="A63" s="15" t="s">
        <v>482</v>
      </c>
      <c r="B63" s="166" t="str">
        <f t="shared" si="0"/>
        <v>345</v>
      </c>
      <c r="C63" s="15">
        <v>33</v>
      </c>
      <c r="D63" s="15">
        <v>10899</v>
      </c>
      <c r="E63" s="15">
        <v>1021</v>
      </c>
      <c r="F63" s="15">
        <v>1053</v>
      </c>
      <c r="G63" s="15">
        <v>1052</v>
      </c>
      <c r="H63" s="15">
        <v>40</v>
      </c>
      <c r="I63" s="15">
        <v>40</v>
      </c>
      <c r="J63" s="15">
        <v>0</v>
      </c>
      <c r="K63" s="15" t="s">
        <v>235</v>
      </c>
      <c r="L63" s="15">
        <v>0.5</v>
      </c>
      <c r="M63" s="15" t="s">
        <v>649</v>
      </c>
      <c r="N63" s="15" t="s">
        <v>235</v>
      </c>
      <c r="O63" s="15">
        <v>16</v>
      </c>
      <c r="P63" s="15">
        <v>70</v>
      </c>
      <c r="Q63" s="15" t="s">
        <v>235</v>
      </c>
      <c r="R63" s="15" t="s">
        <v>235</v>
      </c>
      <c r="S63" s="15" t="s">
        <v>235</v>
      </c>
      <c r="T63" s="15" t="s">
        <v>235</v>
      </c>
      <c r="U63" s="15">
        <v>1</v>
      </c>
      <c r="V63" s="15" t="s">
        <v>235</v>
      </c>
      <c r="W63" s="15">
        <v>1</v>
      </c>
      <c r="X63" s="15">
        <v>5</v>
      </c>
      <c r="Y63" s="15">
        <v>1016</v>
      </c>
      <c r="Z63" s="15">
        <v>1022</v>
      </c>
      <c r="AA63" s="15" t="s">
        <v>235</v>
      </c>
      <c r="AB63" s="15" t="s">
        <v>482</v>
      </c>
    </row>
    <row r="64" spans="1:28">
      <c r="A64" s="15" t="s">
        <v>483</v>
      </c>
      <c r="B64" s="166" t="str">
        <f t="shared" si="0"/>
        <v>345</v>
      </c>
      <c r="C64" s="15">
        <v>33</v>
      </c>
      <c r="D64" s="15">
        <v>10899</v>
      </c>
      <c r="E64" s="15">
        <v>1021</v>
      </c>
      <c r="F64" s="15">
        <v>1053</v>
      </c>
      <c r="G64" s="15">
        <v>1052</v>
      </c>
      <c r="H64" s="15">
        <v>41</v>
      </c>
      <c r="I64" s="15">
        <v>41</v>
      </c>
      <c r="J64" s="15">
        <v>0</v>
      </c>
      <c r="K64" s="15" t="s">
        <v>235</v>
      </c>
      <c r="L64" s="15">
        <v>0.5</v>
      </c>
      <c r="M64" s="15" t="s">
        <v>649</v>
      </c>
      <c r="N64" s="15" t="s">
        <v>235</v>
      </c>
      <c r="O64" s="15">
        <v>16</v>
      </c>
      <c r="P64" s="15">
        <v>70</v>
      </c>
      <c r="Q64" s="15" t="s">
        <v>235</v>
      </c>
      <c r="R64" s="15" t="s">
        <v>235</v>
      </c>
      <c r="S64" s="15" t="s">
        <v>235</v>
      </c>
      <c r="T64" s="15" t="s">
        <v>235</v>
      </c>
      <c r="U64" s="15">
        <v>1</v>
      </c>
      <c r="V64" s="15" t="s">
        <v>235</v>
      </c>
      <c r="W64" s="15">
        <v>1</v>
      </c>
      <c r="X64" s="15">
        <v>5</v>
      </c>
      <c r="Y64" s="15">
        <v>1016</v>
      </c>
      <c r="Z64" s="15">
        <v>1022</v>
      </c>
      <c r="AA64" s="15" t="s">
        <v>235</v>
      </c>
      <c r="AB64" s="15" t="s">
        <v>483</v>
      </c>
    </row>
    <row r="65" spans="1:28">
      <c r="A65" s="15" t="s">
        <v>484</v>
      </c>
      <c r="B65" s="166" t="str">
        <f t="shared" si="0"/>
        <v>345</v>
      </c>
      <c r="C65" s="15">
        <v>33</v>
      </c>
      <c r="D65" s="15">
        <v>10899</v>
      </c>
      <c r="E65" s="15">
        <v>1021</v>
      </c>
      <c r="F65" s="15">
        <v>1053</v>
      </c>
      <c r="G65" s="15">
        <v>1052</v>
      </c>
      <c r="H65" s="15">
        <v>42</v>
      </c>
      <c r="I65" s="15">
        <v>42</v>
      </c>
      <c r="J65" s="15">
        <v>0</v>
      </c>
      <c r="K65" s="15" t="s">
        <v>235</v>
      </c>
      <c r="L65" s="15">
        <v>0.5</v>
      </c>
      <c r="M65" s="15" t="s">
        <v>649</v>
      </c>
      <c r="N65" s="15" t="s">
        <v>235</v>
      </c>
      <c r="O65" s="15">
        <v>16</v>
      </c>
      <c r="P65" s="15">
        <v>70</v>
      </c>
      <c r="Q65" s="15" t="s">
        <v>235</v>
      </c>
      <c r="R65" s="15" t="s">
        <v>235</v>
      </c>
      <c r="S65" s="15" t="s">
        <v>235</v>
      </c>
      <c r="T65" s="15" t="s">
        <v>235</v>
      </c>
      <c r="U65" s="15">
        <v>1</v>
      </c>
      <c r="V65" s="15" t="s">
        <v>235</v>
      </c>
      <c r="W65" s="15">
        <v>1</v>
      </c>
      <c r="X65" s="15">
        <v>5</v>
      </c>
      <c r="Y65" s="15">
        <v>1016</v>
      </c>
      <c r="Z65" s="15">
        <v>1022</v>
      </c>
      <c r="AA65" s="15" t="s">
        <v>235</v>
      </c>
      <c r="AB65" s="15" t="s">
        <v>484</v>
      </c>
    </row>
    <row r="66" spans="1:28">
      <c r="A66" s="15" t="s">
        <v>485</v>
      </c>
      <c r="B66" s="166" t="str">
        <f t="shared" ref="B66:B129" si="1">MID($A66,3,3)</f>
        <v>345</v>
      </c>
      <c r="C66" s="15">
        <v>33</v>
      </c>
      <c r="D66" s="15">
        <v>10899</v>
      </c>
      <c r="E66" s="15">
        <v>1021</v>
      </c>
      <c r="F66" s="15">
        <v>1053</v>
      </c>
      <c r="G66" s="15">
        <v>1052</v>
      </c>
      <c r="H66" s="15">
        <v>43</v>
      </c>
      <c r="I66" s="15">
        <v>43</v>
      </c>
      <c r="J66" s="15">
        <v>0</v>
      </c>
      <c r="K66" s="15" t="s">
        <v>235</v>
      </c>
      <c r="L66" s="15">
        <v>0.5</v>
      </c>
      <c r="M66" s="15" t="s">
        <v>649</v>
      </c>
      <c r="N66" s="15" t="s">
        <v>235</v>
      </c>
      <c r="O66" s="15">
        <v>16</v>
      </c>
      <c r="P66" s="15">
        <v>70</v>
      </c>
      <c r="Q66" s="15" t="s">
        <v>235</v>
      </c>
      <c r="R66" s="15" t="s">
        <v>235</v>
      </c>
      <c r="S66" s="15" t="s">
        <v>235</v>
      </c>
      <c r="T66" s="15" t="s">
        <v>235</v>
      </c>
      <c r="U66" s="15">
        <v>1</v>
      </c>
      <c r="V66" s="15" t="s">
        <v>235</v>
      </c>
      <c r="W66" s="15">
        <v>1</v>
      </c>
      <c r="X66" s="15">
        <v>5</v>
      </c>
      <c r="Y66" s="15">
        <v>1016</v>
      </c>
      <c r="Z66" s="15">
        <v>1022</v>
      </c>
      <c r="AA66" s="15" t="s">
        <v>235</v>
      </c>
      <c r="AB66" s="15" t="s">
        <v>485</v>
      </c>
    </row>
    <row r="67" spans="1:28">
      <c r="A67" s="15" t="s">
        <v>693</v>
      </c>
      <c r="B67" s="166" t="str">
        <f t="shared" si="1"/>
        <v>345</v>
      </c>
      <c r="C67" s="15">
        <v>33</v>
      </c>
      <c r="D67" s="15">
        <v>1014</v>
      </c>
      <c r="E67" s="15">
        <v>1019</v>
      </c>
      <c r="F67" s="15">
        <v>1053</v>
      </c>
      <c r="G67" s="15">
        <v>1052</v>
      </c>
      <c r="H67" s="15">
        <v>199</v>
      </c>
      <c r="I67" s="15">
        <v>199</v>
      </c>
      <c r="J67" s="15">
        <v>0</v>
      </c>
      <c r="K67" s="15" t="s">
        <v>235</v>
      </c>
      <c r="L67" s="15">
        <v>0.5</v>
      </c>
      <c r="M67" s="15" t="s">
        <v>649</v>
      </c>
      <c r="N67" s="15" t="s">
        <v>235</v>
      </c>
      <c r="O67" s="15">
        <v>16</v>
      </c>
      <c r="P67" s="15">
        <v>70</v>
      </c>
      <c r="Q67" s="15" t="s">
        <v>235</v>
      </c>
      <c r="R67" s="15" t="s">
        <v>235</v>
      </c>
      <c r="S67" s="15" t="s">
        <v>235</v>
      </c>
      <c r="T67" s="15" t="s">
        <v>235</v>
      </c>
      <c r="U67" s="15">
        <v>1</v>
      </c>
      <c r="V67" s="15" t="s">
        <v>235</v>
      </c>
      <c r="W67" s="15">
        <v>1</v>
      </c>
      <c r="X67" s="15">
        <v>5</v>
      </c>
      <c r="Y67" s="15">
        <v>1043</v>
      </c>
      <c r="Z67" s="15">
        <v>1047</v>
      </c>
      <c r="AA67" s="15" t="s">
        <v>235</v>
      </c>
      <c r="AB67" s="15" t="s">
        <v>693</v>
      </c>
    </row>
    <row r="68" spans="1:28">
      <c r="A68" s="15" t="s">
        <v>692</v>
      </c>
      <c r="B68" s="166" t="str">
        <f t="shared" si="1"/>
        <v>345</v>
      </c>
      <c r="C68" s="15">
        <v>33</v>
      </c>
      <c r="D68" s="15">
        <v>1014</v>
      </c>
      <c r="E68" s="15">
        <v>1019</v>
      </c>
      <c r="F68" s="15">
        <v>1053</v>
      </c>
      <c r="G68" s="15">
        <v>1052</v>
      </c>
      <c r="H68" s="15">
        <v>200</v>
      </c>
      <c r="I68" s="15">
        <v>200</v>
      </c>
      <c r="J68" s="15">
        <v>0</v>
      </c>
      <c r="K68" s="15" t="s">
        <v>235</v>
      </c>
      <c r="L68" s="15">
        <v>0.5</v>
      </c>
      <c r="M68" s="15" t="s">
        <v>649</v>
      </c>
      <c r="N68" s="15" t="s">
        <v>235</v>
      </c>
      <c r="O68" s="15">
        <v>16</v>
      </c>
      <c r="P68" s="15">
        <v>70</v>
      </c>
      <c r="Q68" s="15" t="s">
        <v>235</v>
      </c>
      <c r="R68" s="15" t="s">
        <v>235</v>
      </c>
      <c r="S68" s="15" t="s">
        <v>235</v>
      </c>
      <c r="T68" s="15" t="s">
        <v>235</v>
      </c>
      <c r="U68" s="15">
        <v>1</v>
      </c>
      <c r="V68" s="15" t="s">
        <v>235</v>
      </c>
      <c r="W68" s="15">
        <v>1</v>
      </c>
      <c r="X68" s="15">
        <v>5</v>
      </c>
      <c r="Y68" s="15">
        <v>1043</v>
      </c>
      <c r="Z68" s="15">
        <v>1047</v>
      </c>
      <c r="AA68" s="15" t="s">
        <v>235</v>
      </c>
      <c r="AB68" s="15" t="s">
        <v>692</v>
      </c>
    </row>
    <row r="69" spans="1:28">
      <c r="A69" s="15" t="s">
        <v>486</v>
      </c>
      <c r="B69" s="166" t="str">
        <f t="shared" si="1"/>
        <v>346</v>
      </c>
      <c r="C69" s="15">
        <v>33</v>
      </c>
      <c r="D69" s="15">
        <v>10899</v>
      </c>
      <c r="E69" s="15">
        <v>1021</v>
      </c>
      <c r="F69" s="15">
        <v>1053</v>
      </c>
      <c r="G69" s="15">
        <v>1052</v>
      </c>
      <c r="H69" s="15">
        <v>44</v>
      </c>
      <c r="I69" s="15">
        <v>44</v>
      </c>
      <c r="J69" s="15">
        <v>0</v>
      </c>
      <c r="K69" s="15" t="s">
        <v>235</v>
      </c>
      <c r="L69" s="15">
        <v>0.5</v>
      </c>
      <c r="M69" s="15" t="s">
        <v>649</v>
      </c>
      <c r="N69" s="15" t="s">
        <v>235</v>
      </c>
      <c r="O69" s="15">
        <v>17</v>
      </c>
      <c r="P69" s="15">
        <v>27</v>
      </c>
      <c r="Q69" s="15" t="s">
        <v>235</v>
      </c>
      <c r="R69" s="15" t="s">
        <v>235</v>
      </c>
      <c r="S69" s="15" t="s">
        <v>235</v>
      </c>
      <c r="T69" s="15" t="s">
        <v>235</v>
      </c>
      <c r="U69" s="15">
        <v>1</v>
      </c>
      <c r="V69" s="15" t="s">
        <v>235</v>
      </c>
      <c r="W69" s="15">
        <v>1</v>
      </c>
      <c r="X69" s="15">
        <v>5</v>
      </c>
      <c r="Y69" s="15">
        <v>1016</v>
      </c>
      <c r="Z69" s="15">
        <v>1022</v>
      </c>
      <c r="AA69" s="15" t="s">
        <v>235</v>
      </c>
      <c r="AB69" s="15" t="s">
        <v>486</v>
      </c>
    </row>
    <row r="70" spans="1:28">
      <c r="A70" s="15" t="s">
        <v>487</v>
      </c>
      <c r="B70" s="166" t="str">
        <f t="shared" si="1"/>
        <v>346</v>
      </c>
      <c r="C70" s="15">
        <v>33</v>
      </c>
      <c r="D70" s="15">
        <v>10899</v>
      </c>
      <c r="E70" s="15">
        <v>1021</v>
      </c>
      <c r="F70" s="15">
        <v>1053</v>
      </c>
      <c r="G70" s="15">
        <v>1052</v>
      </c>
      <c r="H70" s="15">
        <v>45</v>
      </c>
      <c r="I70" s="15">
        <v>45</v>
      </c>
      <c r="J70" s="15">
        <v>0</v>
      </c>
      <c r="K70" s="15" t="s">
        <v>235</v>
      </c>
      <c r="L70" s="15">
        <v>0.5</v>
      </c>
      <c r="M70" s="15" t="s">
        <v>649</v>
      </c>
      <c r="N70" s="15" t="s">
        <v>235</v>
      </c>
      <c r="O70" s="15">
        <v>17</v>
      </c>
      <c r="P70" s="15">
        <v>27</v>
      </c>
      <c r="Q70" s="15" t="s">
        <v>235</v>
      </c>
      <c r="R70" s="15" t="s">
        <v>235</v>
      </c>
      <c r="S70" s="15" t="s">
        <v>235</v>
      </c>
      <c r="T70" s="15" t="s">
        <v>235</v>
      </c>
      <c r="U70" s="15">
        <v>1</v>
      </c>
      <c r="V70" s="15" t="s">
        <v>235</v>
      </c>
      <c r="W70" s="15">
        <v>1</v>
      </c>
      <c r="X70" s="15">
        <v>5</v>
      </c>
      <c r="Y70" s="15">
        <v>1016</v>
      </c>
      <c r="Z70" s="15">
        <v>1022</v>
      </c>
      <c r="AA70" s="15" t="s">
        <v>235</v>
      </c>
      <c r="AB70" s="15" t="s">
        <v>487</v>
      </c>
    </row>
    <row r="71" spans="1:28">
      <c r="A71" s="15" t="s">
        <v>488</v>
      </c>
      <c r="B71" s="166" t="str">
        <f t="shared" si="1"/>
        <v>346</v>
      </c>
      <c r="C71" s="15">
        <v>33</v>
      </c>
      <c r="D71" s="15">
        <v>10899</v>
      </c>
      <c r="E71" s="15">
        <v>1021</v>
      </c>
      <c r="F71" s="15">
        <v>1053</v>
      </c>
      <c r="G71" s="15">
        <v>1052</v>
      </c>
      <c r="H71" s="15">
        <v>46</v>
      </c>
      <c r="I71" s="15">
        <v>46</v>
      </c>
      <c r="J71" s="15">
        <v>0</v>
      </c>
      <c r="K71" s="15" t="s">
        <v>235</v>
      </c>
      <c r="L71" s="15">
        <v>0.5</v>
      </c>
      <c r="M71" s="15" t="s">
        <v>649</v>
      </c>
      <c r="N71" s="15" t="s">
        <v>235</v>
      </c>
      <c r="O71" s="15">
        <v>17</v>
      </c>
      <c r="P71" s="15">
        <v>70</v>
      </c>
      <c r="Q71" s="15" t="s">
        <v>235</v>
      </c>
      <c r="R71" s="15" t="s">
        <v>235</v>
      </c>
      <c r="S71" s="15" t="s">
        <v>235</v>
      </c>
      <c r="T71" s="15" t="s">
        <v>235</v>
      </c>
      <c r="U71" s="15">
        <v>1</v>
      </c>
      <c r="V71" s="15" t="s">
        <v>235</v>
      </c>
      <c r="W71" s="15">
        <v>1</v>
      </c>
      <c r="X71" s="15">
        <v>5</v>
      </c>
      <c r="Y71" s="15">
        <v>1016</v>
      </c>
      <c r="Z71" s="15">
        <v>1022</v>
      </c>
      <c r="AA71" s="15" t="s">
        <v>235</v>
      </c>
      <c r="AB71" s="15" t="s">
        <v>488</v>
      </c>
    </row>
    <row r="72" spans="1:28">
      <c r="A72" s="15" t="s">
        <v>489</v>
      </c>
      <c r="B72" s="166" t="str">
        <f t="shared" si="1"/>
        <v>346</v>
      </c>
      <c r="C72" s="15">
        <v>33</v>
      </c>
      <c r="D72" s="15">
        <v>10899</v>
      </c>
      <c r="E72" s="15">
        <v>1021</v>
      </c>
      <c r="F72" s="15">
        <v>1053</v>
      </c>
      <c r="G72" s="15">
        <v>1052</v>
      </c>
      <c r="H72" s="15">
        <v>47</v>
      </c>
      <c r="I72" s="15">
        <v>47</v>
      </c>
      <c r="J72" s="15">
        <v>0</v>
      </c>
      <c r="K72" s="15" t="s">
        <v>235</v>
      </c>
      <c r="L72" s="15">
        <v>0.5</v>
      </c>
      <c r="M72" s="15" t="s">
        <v>649</v>
      </c>
      <c r="N72" s="15" t="s">
        <v>235</v>
      </c>
      <c r="O72" s="15">
        <v>17</v>
      </c>
      <c r="P72" s="15">
        <v>70</v>
      </c>
      <c r="Q72" s="15" t="s">
        <v>235</v>
      </c>
      <c r="R72" s="15" t="s">
        <v>235</v>
      </c>
      <c r="S72" s="15" t="s">
        <v>235</v>
      </c>
      <c r="T72" s="15" t="s">
        <v>235</v>
      </c>
      <c r="U72" s="15">
        <v>1</v>
      </c>
      <c r="V72" s="15" t="s">
        <v>235</v>
      </c>
      <c r="W72" s="15">
        <v>1</v>
      </c>
      <c r="X72" s="15">
        <v>5</v>
      </c>
      <c r="Y72" s="15">
        <v>1016</v>
      </c>
      <c r="Z72" s="15">
        <v>1022</v>
      </c>
      <c r="AA72" s="15" t="s">
        <v>235</v>
      </c>
      <c r="AB72" s="15" t="s">
        <v>489</v>
      </c>
    </row>
    <row r="73" spans="1:28">
      <c r="A73" s="15" t="s">
        <v>490</v>
      </c>
      <c r="B73" s="166" t="str">
        <f t="shared" si="1"/>
        <v>346</v>
      </c>
      <c r="C73" s="15">
        <v>33</v>
      </c>
      <c r="D73" s="15">
        <v>10899</v>
      </c>
      <c r="E73" s="15">
        <v>1021</v>
      </c>
      <c r="F73" s="15">
        <v>1053</v>
      </c>
      <c r="G73" s="15">
        <v>1052</v>
      </c>
      <c r="H73" s="15">
        <v>48</v>
      </c>
      <c r="I73" s="15">
        <v>48</v>
      </c>
      <c r="J73" s="15">
        <v>0</v>
      </c>
      <c r="K73" s="15" t="s">
        <v>235</v>
      </c>
      <c r="L73" s="15">
        <v>0.5</v>
      </c>
      <c r="M73" s="15" t="s">
        <v>649</v>
      </c>
      <c r="N73" s="15" t="s">
        <v>235</v>
      </c>
      <c r="O73" s="15">
        <v>17</v>
      </c>
      <c r="P73" s="15">
        <v>70</v>
      </c>
      <c r="Q73" s="15" t="s">
        <v>235</v>
      </c>
      <c r="R73" s="15" t="s">
        <v>235</v>
      </c>
      <c r="S73" s="15" t="s">
        <v>235</v>
      </c>
      <c r="T73" s="15" t="s">
        <v>235</v>
      </c>
      <c r="U73" s="15">
        <v>1</v>
      </c>
      <c r="V73" s="15" t="s">
        <v>235</v>
      </c>
      <c r="W73" s="15">
        <v>1</v>
      </c>
      <c r="X73" s="15">
        <v>5</v>
      </c>
      <c r="Y73" s="15">
        <v>1016</v>
      </c>
      <c r="Z73" s="15">
        <v>1022</v>
      </c>
      <c r="AA73" s="15" t="s">
        <v>235</v>
      </c>
      <c r="AB73" s="15" t="s">
        <v>490</v>
      </c>
    </row>
    <row r="74" spans="1:28">
      <c r="A74" s="15" t="s">
        <v>491</v>
      </c>
      <c r="B74" s="166" t="str">
        <f t="shared" si="1"/>
        <v>346</v>
      </c>
      <c r="C74" s="15">
        <v>33</v>
      </c>
      <c r="D74" s="15">
        <v>10899</v>
      </c>
      <c r="E74" s="15">
        <v>1021</v>
      </c>
      <c r="F74" s="15">
        <v>1053</v>
      </c>
      <c r="G74" s="15">
        <v>1052</v>
      </c>
      <c r="H74" s="15">
        <v>49</v>
      </c>
      <c r="I74" s="15">
        <v>49</v>
      </c>
      <c r="J74" s="15">
        <v>0</v>
      </c>
      <c r="K74" s="15" t="s">
        <v>235</v>
      </c>
      <c r="L74" s="15">
        <v>0.5</v>
      </c>
      <c r="M74" s="15" t="s">
        <v>649</v>
      </c>
      <c r="N74" s="15" t="s">
        <v>235</v>
      </c>
      <c r="O74" s="15">
        <v>17</v>
      </c>
      <c r="P74" s="15">
        <v>70</v>
      </c>
      <c r="Q74" s="15" t="s">
        <v>235</v>
      </c>
      <c r="R74" s="15" t="s">
        <v>235</v>
      </c>
      <c r="S74" s="15" t="s">
        <v>235</v>
      </c>
      <c r="T74" s="15" t="s">
        <v>235</v>
      </c>
      <c r="U74" s="15">
        <v>1</v>
      </c>
      <c r="V74" s="15" t="s">
        <v>235</v>
      </c>
      <c r="W74" s="15">
        <v>1</v>
      </c>
      <c r="X74" s="15">
        <v>5</v>
      </c>
      <c r="Y74" s="15">
        <v>1016</v>
      </c>
      <c r="Z74" s="15">
        <v>1022</v>
      </c>
      <c r="AA74" s="15" t="s">
        <v>235</v>
      </c>
      <c r="AB74" s="15" t="s">
        <v>491</v>
      </c>
    </row>
    <row r="75" spans="1:28">
      <c r="A75" s="15" t="s">
        <v>691</v>
      </c>
      <c r="B75" s="166" t="str">
        <f t="shared" si="1"/>
        <v>346</v>
      </c>
      <c r="C75" s="15">
        <v>33</v>
      </c>
      <c r="D75" s="15">
        <v>1014</v>
      </c>
      <c r="E75" s="15">
        <v>1019</v>
      </c>
      <c r="F75" s="15">
        <v>1053</v>
      </c>
      <c r="G75" s="15">
        <v>1052</v>
      </c>
      <c r="H75" s="15">
        <v>201</v>
      </c>
      <c r="I75" s="15">
        <v>201</v>
      </c>
      <c r="J75" s="15">
        <v>0</v>
      </c>
      <c r="K75" s="15" t="s">
        <v>235</v>
      </c>
      <c r="L75" s="15">
        <v>0.5</v>
      </c>
      <c r="M75" s="15" t="s">
        <v>649</v>
      </c>
      <c r="N75" s="15" t="s">
        <v>235</v>
      </c>
      <c r="O75" s="15">
        <v>17</v>
      </c>
      <c r="P75" s="15">
        <v>70</v>
      </c>
      <c r="Q75" s="15" t="s">
        <v>235</v>
      </c>
      <c r="R75" s="15" t="s">
        <v>235</v>
      </c>
      <c r="S75" s="15" t="s">
        <v>235</v>
      </c>
      <c r="T75" s="15" t="s">
        <v>235</v>
      </c>
      <c r="U75" s="15">
        <v>1</v>
      </c>
      <c r="V75" s="15" t="s">
        <v>235</v>
      </c>
      <c r="W75" s="15">
        <v>1</v>
      </c>
      <c r="X75" s="15">
        <v>5</v>
      </c>
      <c r="Y75" s="15">
        <v>1043</v>
      </c>
      <c r="Z75" s="15">
        <v>1047</v>
      </c>
      <c r="AA75" s="15" t="s">
        <v>235</v>
      </c>
      <c r="AB75" s="15" t="s">
        <v>691</v>
      </c>
    </row>
    <row r="76" spans="1:28">
      <c r="A76" s="15" t="s">
        <v>690</v>
      </c>
      <c r="B76" s="166" t="str">
        <f t="shared" si="1"/>
        <v>346</v>
      </c>
      <c r="C76" s="15">
        <v>33</v>
      </c>
      <c r="D76" s="15">
        <v>1014</v>
      </c>
      <c r="E76" s="15">
        <v>1019</v>
      </c>
      <c r="F76" s="15">
        <v>1053</v>
      </c>
      <c r="G76" s="15">
        <v>1052</v>
      </c>
      <c r="H76" s="15">
        <v>202</v>
      </c>
      <c r="I76" s="15">
        <v>202</v>
      </c>
      <c r="J76" s="15">
        <v>0</v>
      </c>
      <c r="K76" s="15" t="s">
        <v>235</v>
      </c>
      <c r="L76" s="15">
        <v>0.5</v>
      </c>
      <c r="M76" s="15" t="s">
        <v>649</v>
      </c>
      <c r="N76" s="15" t="s">
        <v>235</v>
      </c>
      <c r="O76" s="15">
        <v>17</v>
      </c>
      <c r="P76" s="15">
        <v>70</v>
      </c>
      <c r="Q76" s="15" t="s">
        <v>235</v>
      </c>
      <c r="R76" s="15" t="s">
        <v>235</v>
      </c>
      <c r="S76" s="15" t="s">
        <v>235</v>
      </c>
      <c r="T76" s="15" t="s">
        <v>235</v>
      </c>
      <c r="U76" s="15">
        <v>1</v>
      </c>
      <c r="V76" s="15" t="s">
        <v>235</v>
      </c>
      <c r="W76" s="15">
        <v>1</v>
      </c>
      <c r="X76" s="15">
        <v>5</v>
      </c>
      <c r="Y76" s="15">
        <v>1043</v>
      </c>
      <c r="Z76" s="15">
        <v>1047</v>
      </c>
      <c r="AA76" s="15" t="s">
        <v>235</v>
      </c>
      <c r="AB76" s="15" t="s">
        <v>690</v>
      </c>
    </row>
    <row r="77" spans="1:28">
      <c r="A77" s="15" t="s">
        <v>492</v>
      </c>
      <c r="B77" s="166" t="str">
        <f t="shared" si="1"/>
        <v>350</v>
      </c>
      <c r="C77" s="15">
        <v>33</v>
      </c>
      <c r="D77" s="15">
        <v>10899</v>
      </c>
      <c r="E77" s="15">
        <v>1021</v>
      </c>
      <c r="F77" s="15">
        <v>1053</v>
      </c>
      <c r="G77" s="15">
        <v>1052</v>
      </c>
      <c r="H77" s="15">
        <v>50</v>
      </c>
      <c r="I77" s="15">
        <v>50</v>
      </c>
      <c r="J77" s="15">
        <v>0</v>
      </c>
      <c r="K77" s="15" t="s">
        <v>235</v>
      </c>
      <c r="L77" s="15">
        <v>0.5</v>
      </c>
      <c r="M77" s="15" t="s">
        <v>649</v>
      </c>
      <c r="N77" s="15" t="s">
        <v>235</v>
      </c>
      <c r="O77" s="15">
        <v>18</v>
      </c>
      <c r="P77" s="15">
        <v>31</v>
      </c>
      <c r="Q77" s="15" t="s">
        <v>235</v>
      </c>
      <c r="R77" s="15" t="s">
        <v>235</v>
      </c>
      <c r="S77" s="15" t="s">
        <v>235</v>
      </c>
      <c r="T77" s="15" t="s">
        <v>235</v>
      </c>
      <c r="U77" s="15">
        <v>1</v>
      </c>
      <c r="V77" s="15" t="s">
        <v>235</v>
      </c>
      <c r="W77" s="15">
        <v>1</v>
      </c>
      <c r="X77" s="15">
        <v>6</v>
      </c>
      <c r="Y77" s="15">
        <v>1016</v>
      </c>
      <c r="Z77" s="15">
        <v>1022</v>
      </c>
      <c r="AA77" s="15" t="s">
        <v>235</v>
      </c>
      <c r="AB77" s="15" t="s">
        <v>492</v>
      </c>
    </row>
    <row r="78" spans="1:28">
      <c r="A78" s="15" t="s">
        <v>493</v>
      </c>
      <c r="B78" s="166" t="str">
        <f t="shared" si="1"/>
        <v>350</v>
      </c>
      <c r="C78" s="15">
        <v>33</v>
      </c>
      <c r="D78" s="15">
        <v>10899</v>
      </c>
      <c r="E78" s="15">
        <v>1021</v>
      </c>
      <c r="F78" s="15">
        <v>1053</v>
      </c>
      <c r="G78" s="15">
        <v>1052</v>
      </c>
      <c r="H78" s="15">
        <v>51</v>
      </c>
      <c r="I78" s="15">
        <v>51</v>
      </c>
      <c r="J78" s="15">
        <v>0</v>
      </c>
      <c r="K78" s="15" t="s">
        <v>235</v>
      </c>
      <c r="L78" s="15">
        <v>0.5</v>
      </c>
      <c r="M78" s="15" t="s">
        <v>649</v>
      </c>
      <c r="N78" s="15" t="s">
        <v>235</v>
      </c>
      <c r="O78" s="15">
        <v>18</v>
      </c>
      <c r="P78" s="15">
        <v>31</v>
      </c>
      <c r="Q78" s="15" t="s">
        <v>235</v>
      </c>
      <c r="R78" s="15" t="s">
        <v>235</v>
      </c>
      <c r="S78" s="15" t="s">
        <v>235</v>
      </c>
      <c r="T78" s="15" t="s">
        <v>235</v>
      </c>
      <c r="U78" s="15">
        <v>1</v>
      </c>
      <c r="V78" s="15" t="s">
        <v>235</v>
      </c>
      <c r="W78" s="15">
        <v>1</v>
      </c>
      <c r="X78" s="15">
        <v>6</v>
      </c>
      <c r="Y78" s="15">
        <v>1016</v>
      </c>
      <c r="Z78" s="15">
        <v>1022</v>
      </c>
      <c r="AA78" s="15" t="s">
        <v>235</v>
      </c>
      <c r="AB78" s="15" t="s">
        <v>493</v>
      </c>
    </row>
    <row r="79" spans="1:28">
      <c r="A79" s="15" t="s">
        <v>494</v>
      </c>
      <c r="B79" s="166" t="str">
        <f t="shared" si="1"/>
        <v>350</v>
      </c>
      <c r="C79" s="15">
        <v>33</v>
      </c>
      <c r="D79" s="15">
        <v>10899</v>
      </c>
      <c r="E79" s="15">
        <v>1021</v>
      </c>
      <c r="F79" s="15">
        <v>1053</v>
      </c>
      <c r="G79" s="15">
        <v>1052</v>
      </c>
      <c r="H79" s="15">
        <v>52</v>
      </c>
      <c r="I79" s="15">
        <v>52</v>
      </c>
      <c r="J79" s="15">
        <v>0</v>
      </c>
      <c r="K79" s="15" t="s">
        <v>235</v>
      </c>
      <c r="L79" s="15">
        <v>0.5</v>
      </c>
      <c r="M79" s="15" t="s">
        <v>649</v>
      </c>
      <c r="N79" s="15" t="s">
        <v>235</v>
      </c>
      <c r="O79" s="15">
        <v>18</v>
      </c>
      <c r="P79" s="15">
        <v>31</v>
      </c>
      <c r="Q79" s="15" t="s">
        <v>235</v>
      </c>
      <c r="R79" s="15" t="s">
        <v>235</v>
      </c>
      <c r="S79" s="15" t="s">
        <v>235</v>
      </c>
      <c r="T79" s="15" t="s">
        <v>235</v>
      </c>
      <c r="U79" s="15">
        <v>1</v>
      </c>
      <c r="V79" s="15" t="s">
        <v>235</v>
      </c>
      <c r="W79" s="15">
        <v>1</v>
      </c>
      <c r="X79" s="15">
        <v>6</v>
      </c>
      <c r="Y79" s="15">
        <v>1016</v>
      </c>
      <c r="Z79" s="15">
        <v>1022</v>
      </c>
      <c r="AA79" s="15" t="s">
        <v>235</v>
      </c>
      <c r="AB79" s="15" t="s">
        <v>494</v>
      </c>
    </row>
    <row r="80" spans="1:28">
      <c r="A80" s="15" t="s">
        <v>495</v>
      </c>
      <c r="B80" s="166" t="str">
        <f t="shared" si="1"/>
        <v>350</v>
      </c>
      <c r="C80" s="15">
        <v>33</v>
      </c>
      <c r="D80" s="15">
        <v>10899</v>
      </c>
      <c r="E80" s="15">
        <v>1021</v>
      </c>
      <c r="F80" s="15">
        <v>1053</v>
      </c>
      <c r="G80" s="15">
        <v>1052</v>
      </c>
      <c r="H80" s="15">
        <v>53</v>
      </c>
      <c r="I80" s="15">
        <v>53</v>
      </c>
      <c r="J80" s="15">
        <v>0</v>
      </c>
      <c r="K80" s="15" t="s">
        <v>235</v>
      </c>
      <c r="L80" s="15">
        <v>0.5</v>
      </c>
      <c r="M80" s="15" t="s">
        <v>649</v>
      </c>
      <c r="N80" s="15" t="s">
        <v>235</v>
      </c>
      <c r="O80" s="15">
        <v>18</v>
      </c>
      <c r="P80" s="15">
        <v>33</v>
      </c>
      <c r="Q80" s="15" t="s">
        <v>235</v>
      </c>
      <c r="R80" s="15" t="s">
        <v>235</v>
      </c>
      <c r="S80" s="15" t="s">
        <v>235</v>
      </c>
      <c r="T80" s="15" t="s">
        <v>235</v>
      </c>
      <c r="U80" s="15">
        <v>1</v>
      </c>
      <c r="V80" s="15" t="s">
        <v>235</v>
      </c>
      <c r="W80" s="15">
        <v>1</v>
      </c>
      <c r="X80" s="15">
        <v>6</v>
      </c>
      <c r="Y80" s="15">
        <v>1016</v>
      </c>
      <c r="Z80" s="15">
        <v>1022</v>
      </c>
      <c r="AA80" s="15" t="s">
        <v>235</v>
      </c>
      <c r="AB80" s="15" t="s">
        <v>495</v>
      </c>
    </row>
    <row r="81" spans="1:28">
      <c r="A81" s="15" t="s">
        <v>496</v>
      </c>
      <c r="B81" s="166" t="str">
        <f t="shared" si="1"/>
        <v>350</v>
      </c>
      <c r="C81" s="15">
        <v>33</v>
      </c>
      <c r="D81" s="15">
        <v>10899</v>
      </c>
      <c r="E81" s="15">
        <v>1021</v>
      </c>
      <c r="F81" s="15">
        <v>1053</v>
      </c>
      <c r="G81" s="15">
        <v>1052</v>
      </c>
      <c r="H81" s="15">
        <v>54</v>
      </c>
      <c r="I81" s="15">
        <v>54</v>
      </c>
      <c r="J81" s="15">
        <v>0</v>
      </c>
      <c r="K81" s="15" t="s">
        <v>235</v>
      </c>
      <c r="L81" s="15">
        <v>0.5</v>
      </c>
      <c r="M81" s="15" t="s">
        <v>649</v>
      </c>
      <c r="N81" s="15" t="s">
        <v>235</v>
      </c>
      <c r="O81" s="15">
        <v>18</v>
      </c>
      <c r="P81" s="15">
        <v>56</v>
      </c>
      <c r="Q81" s="15" t="s">
        <v>235</v>
      </c>
      <c r="R81" s="15" t="s">
        <v>235</v>
      </c>
      <c r="S81" s="15" t="s">
        <v>235</v>
      </c>
      <c r="T81" s="15" t="s">
        <v>235</v>
      </c>
      <c r="U81" s="15">
        <v>1</v>
      </c>
      <c r="V81" s="15" t="s">
        <v>235</v>
      </c>
      <c r="W81" s="15">
        <v>1</v>
      </c>
      <c r="X81" s="15">
        <v>6</v>
      </c>
      <c r="Y81" s="15">
        <v>1016</v>
      </c>
      <c r="Z81" s="15">
        <v>1022</v>
      </c>
      <c r="AA81" s="15" t="s">
        <v>235</v>
      </c>
      <c r="AB81" s="15" t="s">
        <v>496</v>
      </c>
    </row>
    <row r="82" spans="1:28">
      <c r="A82" s="15" t="s">
        <v>497</v>
      </c>
      <c r="B82" s="166" t="str">
        <f t="shared" si="1"/>
        <v>350</v>
      </c>
      <c r="C82" s="15">
        <v>33</v>
      </c>
      <c r="D82" s="15">
        <v>10899</v>
      </c>
      <c r="E82" s="15">
        <v>1021</v>
      </c>
      <c r="F82" s="15">
        <v>1053</v>
      </c>
      <c r="G82" s="15">
        <v>1052</v>
      </c>
      <c r="H82" s="15">
        <v>55</v>
      </c>
      <c r="I82" s="15">
        <v>55</v>
      </c>
      <c r="J82" s="15">
        <v>0</v>
      </c>
      <c r="K82" s="15" t="s">
        <v>235</v>
      </c>
      <c r="L82" s="15">
        <v>0.5</v>
      </c>
      <c r="M82" s="15" t="s">
        <v>649</v>
      </c>
      <c r="N82" s="15" t="s">
        <v>235</v>
      </c>
      <c r="O82" s="15">
        <v>18</v>
      </c>
      <c r="P82" s="15">
        <v>56</v>
      </c>
      <c r="Q82" s="15" t="s">
        <v>235</v>
      </c>
      <c r="R82" s="15" t="s">
        <v>235</v>
      </c>
      <c r="S82" s="15" t="s">
        <v>235</v>
      </c>
      <c r="T82" s="15" t="s">
        <v>235</v>
      </c>
      <c r="U82" s="15">
        <v>1</v>
      </c>
      <c r="V82" s="15" t="s">
        <v>235</v>
      </c>
      <c r="W82" s="15">
        <v>1</v>
      </c>
      <c r="X82" s="15">
        <v>6</v>
      </c>
      <c r="Y82" s="15">
        <v>1016</v>
      </c>
      <c r="Z82" s="15">
        <v>1022</v>
      </c>
      <c r="AA82" s="15" t="s">
        <v>235</v>
      </c>
      <c r="AB82" s="15" t="s">
        <v>497</v>
      </c>
    </row>
    <row r="83" spans="1:28">
      <c r="A83" s="15" t="s">
        <v>498</v>
      </c>
      <c r="B83" s="166" t="str">
        <f t="shared" si="1"/>
        <v>350</v>
      </c>
      <c r="C83" s="15">
        <v>33</v>
      </c>
      <c r="D83" s="15">
        <v>10899</v>
      </c>
      <c r="E83" s="15">
        <v>1021</v>
      </c>
      <c r="F83" s="15">
        <v>1053</v>
      </c>
      <c r="G83" s="15">
        <v>1052</v>
      </c>
      <c r="H83" s="15">
        <v>56</v>
      </c>
      <c r="I83" s="15">
        <v>56</v>
      </c>
      <c r="J83" s="15">
        <v>0</v>
      </c>
      <c r="K83" s="15" t="s">
        <v>235</v>
      </c>
      <c r="L83" s="15">
        <v>0.5</v>
      </c>
      <c r="M83" s="15" t="s">
        <v>649</v>
      </c>
      <c r="N83" s="15" t="s">
        <v>235</v>
      </c>
      <c r="O83" s="15">
        <v>18</v>
      </c>
      <c r="P83" s="15">
        <v>55</v>
      </c>
      <c r="Q83" s="15" t="s">
        <v>235</v>
      </c>
      <c r="R83" s="15" t="s">
        <v>235</v>
      </c>
      <c r="S83" s="15" t="s">
        <v>235</v>
      </c>
      <c r="T83" s="15" t="s">
        <v>235</v>
      </c>
      <c r="U83" s="15">
        <v>1</v>
      </c>
      <c r="V83" s="15" t="s">
        <v>235</v>
      </c>
      <c r="W83" s="15">
        <v>1</v>
      </c>
      <c r="X83" s="15">
        <v>6</v>
      </c>
      <c r="Y83" s="15">
        <v>1016</v>
      </c>
      <c r="Z83" s="15">
        <v>1022</v>
      </c>
      <c r="AA83" s="15" t="s">
        <v>235</v>
      </c>
      <c r="AB83" s="15" t="s">
        <v>498</v>
      </c>
    </row>
    <row r="84" spans="1:28">
      <c r="A84" s="15" t="s">
        <v>499</v>
      </c>
      <c r="B84" s="166" t="str">
        <f t="shared" si="1"/>
        <v>350</v>
      </c>
      <c r="C84" s="15">
        <v>33</v>
      </c>
      <c r="D84" s="15">
        <v>10899</v>
      </c>
      <c r="E84" s="15">
        <v>1021</v>
      </c>
      <c r="F84" s="15">
        <v>1053</v>
      </c>
      <c r="G84" s="15">
        <v>1052</v>
      </c>
      <c r="H84" s="15">
        <v>57</v>
      </c>
      <c r="I84" s="15">
        <v>57</v>
      </c>
      <c r="J84" s="15">
        <v>0</v>
      </c>
      <c r="K84" s="15" t="s">
        <v>235</v>
      </c>
      <c r="L84" s="15">
        <v>0.5</v>
      </c>
      <c r="M84" s="15" t="s">
        <v>649</v>
      </c>
      <c r="N84" s="15" t="s">
        <v>235</v>
      </c>
      <c r="O84" s="15">
        <v>18</v>
      </c>
      <c r="P84" s="15">
        <v>55</v>
      </c>
      <c r="Q84" s="15" t="s">
        <v>235</v>
      </c>
      <c r="R84" s="15" t="s">
        <v>235</v>
      </c>
      <c r="S84" s="15" t="s">
        <v>235</v>
      </c>
      <c r="T84" s="15" t="s">
        <v>235</v>
      </c>
      <c r="U84" s="15">
        <v>1</v>
      </c>
      <c r="V84" s="15" t="s">
        <v>235</v>
      </c>
      <c r="W84" s="15">
        <v>1</v>
      </c>
      <c r="X84" s="15">
        <v>6</v>
      </c>
      <c r="Y84" s="15">
        <v>1016</v>
      </c>
      <c r="Z84" s="15">
        <v>1022</v>
      </c>
      <c r="AA84" s="15" t="s">
        <v>235</v>
      </c>
      <c r="AB84" s="15" t="s">
        <v>499</v>
      </c>
    </row>
    <row r="85" spans="1:28">
      <c r="A85" s="15" t="s">
        <v>500</v>
      </c>
      <c r="B85" s="166" t="str">
        <f t="shared" si="1"/>
        <v>350</v>
      </c>
      <c r="C85" s="15">
        <v>33</v>
      </c>
      <c r="D85" s="15">
        <v>10899</v>
      </c>
      <c r="E85" s="15">
        <v>1021</v>
      </c>
      <c r="F85" s="15">
        <v>1053</v>
      </c>
      <c r="G85" s="15">
        <v>1052</v>
      </c>
      <c r="H85" s="15">
        <v>58</v>
      </c>
      <c r="I85" s="15">
        <v>58</v>
      </c>
      <c r="J85" s="15">
        <v>0</v>
      </c>
      <c r="K85" s="15" t="s">
        <v>235</v>
      </c>
      <c r="L85" s="15">
        <v>0.5</v>
      </c>
      <c r="M85" s="15" t="s">
        <v>649</v>
      </c>
      <c r="N85" s="15" t="s">
        <v>235</v>
      </c>
      <c r="O85" s="15">
        <v>18</v>
      </c>
      <c r="P85" s="15">
        <v>55</v>
      </c>
      <c r="Q85" s="15" t="s">
        <v>235</v>
      </c>
      <c r="R85" s="15" t="s">
        <v>235</v>
      </c>
      <c r="S85" s="15" t="s">
        <v>235</v>
      </c>
      <c r="T85" s="15" t="s">
        <v>235</v>
      </c>
      <c r="U85" s="15">
        <v>1</v>
      </c>
      <c r="V85" s="15" t="s">
        <v>235</v>
      </c>
      <c r="W85" s="15">
        <v>1</v>
      </c>
      <c r="X85" s="15">
        <v>6</v>
      </c>
      <c r="Y85" s="15">
        <v>1016</v>
      </c>
      <c r="Z85" s="15">
        <v>1022</v>
      </c>
      <c r="AA85" s="15" t="s">
        <v>235</v>
      </c>
      <c r="AB85" s="15" t="s">
        <v>500</v>
      </c>
    </row>
    <row r="86" spans="1:28">
      <c r="A86" s="15" t="s">
        <v>689</v>
      </c>
      <c r="B86" s="166" t="str">
        <f t="shared" si="1"/>
        <v>350</v>
      </c>
      <c r="C86" s="15">
        <v>33</v>
      </c>
      <c r="D86" s="15">
        <v>1015</v>
      </c>
      <c r="E86" s="15">
        <v>1023</v>
      </c>
      <c r="F86" s="15">
        <v>1025</v>
      </c>
      <c r="G86" s="15">
        <v>1027</v>
      </c>
      <c r="H86" s="15">
        <v>184</v>
      </c>
      <c r="I86" s="15">
        <v>184</v>
      </c>
      <c r="J86" s="15">
        <v>0</v>
      </c>
      <c r="K86" s="15" t="s">
        <v>235</v>
      </c>
      <c r="L86" s="15">
        <v>0.5</v>
      </c>
      <c r="M86" s="15" t="s">
        <v>649</v>
      </c>
      <c r="N86" s="15" t="s">
        <v>235</v>
      </c>
      <c r="O86" s="15">
        <v>18</v>
      </c>
      <c r="P86" s="15">
        <v>33</v>
      </c>
      <c r="Q86" s="15" t="s">
        <v>235</v>
      </c>
      <c r="R86" s="15" t="s">
        <v>235</v>
      </c>
      <c r="S86" s="15" t="s">
        <v>235</v>
      </c>
      <c r="T86" s="15" t="s">
        <v>235</v>
      </c>
      <c r="U86" s="15">
        <v>1</v>
      </c>
      <c r="V86" s="15" t="s">
        <v>235</v>
      </c>
      <c r="W86" s="15">
        <v>1</v>
      </c>
      <c r="X86" s="15">
        <v>12</v>
      </c>
      <c r="Y86" s="15">
        <v>1044</v>
      </c>
      <c r="Z86" s="15">
        <v>1049</v>
      </c>
      <c r="AA86" s="15" t="s">
        <v>235</v>
      </c>
      <c r="AB86" s="15" t="s">
        <v>689</v>
      </c>
    </row>
    <row r="87" spans="1:28">
      <c r="A87" s="15" t="s">
        <v>688</v>
      </c>
      <c r="B87" s="166" t="str">
        <f t="shared" si="1"/>
        <v>350</v>
      </c>
      <c r="C87" s="15">
        <v>33</v>
      </c>
      <c r="D87" s="15">
        <v>1014</v>
      </c>
      <c r="E87" s="15">
        <v>1019</v>
      </c>
      <c r="F87" s="15">
        <v>1053</v>
      </c>
      <c r="G87" s="15">
        <v>1052</v>
      </c>
      <c r="H87" s="15">
        <v>203</v>
      </c>
      <c r="I87" s="15">
        <v>203</v>
      </c>
      <c r="J87" s="15">
        <v>0</v>
      </c>
      <c r="K87" s="15" t="s">
        <v>235</v>
      </c>
      <c r="L87" s="15">
        <v>0.5</v>
      </c>
      <c r="M87" s="15" t="s">
        <v>649</v>
      </c>
      <c r="N87" s="15" t="s">
        <v>235</v>
      </c>
      <c r="O87" s="15">
        <v>18</v>
      </c>
      <c r="P87" s="15">
        <v>31</v>
      </c>
      <c r="Q87" s="15" t="s">
        <v>235</v>
      </c>
      <c r="R87" s="15" t="s">
        <v>235</v>
      </c>
      <c r="S87" s="15" t="s">
        <v>235</v>
      </c>
      <c r="T87" s="15" t="s">
        <v>235</v>
      </c>
      <c r="U87" s="15">
        <v>1</v>
      </c>
      <c r="V87" s="15" t="s">
        <v>235</v>
      </c>
      <c r="W87" s="15">
        <v>1</v>
      </c>
      <c r="X87" s="15">
        <v>6</v>
      </c>
      <c r="Y87" s="15">
        <v>1043</v>
      </c>
      <c r="Z87" s="15">
        <v>1047</v>
      </c>
      <c r="AA87" s="15" t="s">
        <v>235</v>
      </c>
      <c r="AB87" s="15" t="s">
        <v>688</v>
      </c>
    </row>
    <row r="88" spans="1:28">
      <c r="A88" s="15" t="s">
        <v>687</v>
      </c>
      <c r="B88" s="166" t="str">
        <f t="shared" si="1"/>
        <v>350</v>
      </c>
      <c r="C88" s="15">
        <v>33</v>
      </c>
      <c r="D88" s="15">
        <v>1014</v>
      </c>
      <c r="E88" s="15">
        <v>1019</v>
      </c>
      <c r="F88" s="15">
        <v>1053</v>
      </c>
      <c r="G88" s="15">
        <v>1052</v>
      </c>
      <c r="H88" s="15">
        <v>204</v>
      </c>
      <c r="I88" s="15">
        <v>204</v>
      </c>
      <c r="J88" s="15">
        <v>0</v>
      </c>
      <c r="K88" s="15" t="s">
        <v>235</v>
      </c>
      <c r="L88" s="15">
        <v>0.5</v>
      </c>
      <c r="M88" s="15" t="s">
        <v>649</v>
      </c>
      <c r="N88" s="15" t="s">
        <v>235</v>
      </c>
      <c r="O88" s="15">
        <v>18</v>
      </c>
      <c r="P88" s="15">
        <v>33</v>
      </c>
      <c r="Q88" s="15" t="s">
        <v>235</v>
      </c>
      <c r="R88" s="15" t="s">
        <v>235</v>
      </c>
      <c r="S88" s="15" t="s">
        <v>235</v>
      </c>
      <c r="T88" s="15" t="s">
        <v>235</v>
      </c>
      <c r="U88" s="15">
        <v>1</v>
      </c>
      <c r="V88" s="15" t="s">
        <v>235</v>
      </c>
      <c r="W88" s="15">
        <v>1</v>
      </c>
      <c r="X88" s="15">
        <v>6</v>
      </c>
      <c r="Y88" s="15">
        <v>1043</v>
      </c>
      <c r="Z88" s="15">
        <v>1047</v>
      </c>
      <c r="AA88" s="15" t="s">
        <v>235</v>
      </c>
      <c r="AB88" s="15" t="s">
        <v>687</v>
      </c>
    </row>
    <row r="89" spans="1:28">
      <c r="A89" s="15" t="s">
        <v>686</v>
      </c>
      <c r="B89" s="166" t="str">
        <f t="shared" si="1"/>
        <v>350</v>
      </c>
      <c r="C89" s="15">
        <v>33</v>
      </c>
      <c r="D89" s="15">
        <v>1014</v>
      </c>
      <c r="E89" s="15">
        <v>1019</v>
      </c>
      <c r="F89" s="15">
        <v>1053</v>
      </c>
      <c r="G89" s="15">
        <v>1052</v>
      </c>
      <c r="H89" s="15">
        <v>205</v>
      </c>
      <c r="I89" s="15">
        <v>205</v>
      </c>
      <c r="J89" s="15">
        <v>0</v>
      </c>
      <c r="K89" s="15" t="s">
        <v>235</v>
      </c>
      <c r="L89" s="15">
        <v>0.5</v>
      </c>
      <c r="M89" s="15" t="s">
        <v>649</v>
      </c>
      <c r="N89" s="15" t="s">
        <v>235</v>
      </c>
      <c r="O89" s="15">
        <v>18</v>
      </c>
      <c r="P89" s="15">
        <v>55</v>
      </c>
      <c r="Q89" s="15" t="s">
        <v>235</v>
      </c>
      <c r="R89" s="15" t="s">
        <v>235</v>
      </c>
      <c r="S89" s="15" t="s">
        <v>235</v>
      </c>
      <c r="T89" s="15" t="s">
        <v>235</v>
      </c>
      <c r="U89" s="15">
        <v>1</v>
      </c>
      <c r="V89" s="15" t="s">
        <v>235</v>
      </c>
      <c r="W89" s="15">
        <v>1</v>
      </c>
      <c r="X89" s="15">
        <v>6</v>
      </c>
      <c r="Y89" s="15">
        <v>1043</v>
      </c>
      <c r="Z89" s="15">
        <v>1047</v>
      </c>
      <c r="AA89" s="15" t="s">
        <v>235</v>
      </c>
      <c r="AB89" s="15" t="s">
        <v>686</v>
      </c>
    </row>
    <row r="90" spans="1:28">
      <c r="A90" s="15" t="s">
        <v>685</v>
      </c>
      <c r="B90" s="166" t="str">
        <f t="shared" si="1"/>
        <v>350</v>
      </c>
      <c r="C90" s="15">
        <v>33</v>
      </c>
      <c r="D90" s="15">
        <v>10899</v>
      </c>
      <c r="E90" s="15">
        <v>1021</v>
      </c>
      <c r="F90" s="15">
        <v>1053</v>
      </c>
      <c r="G90" s="15">
        <v>1052</v>
      </c>
      <c r="H90" s="15">
        <v>240</v>
      </c>
      <c r="I90" s="15">
        <v>240</v>
      </c>
      <c r="J90" s="15">
        <v>0</v>
      </c>
      <c r="K90" s="15" t="s">
        <v>235</v>
      </c>
      <c r="L90" s="15">
        <v>0.5</v>
      </c>
      <c r="M90" s="15" t="s">
        <v>649</v>
      </c>
      <c r="N90" s="15" t="s">
        <v>235</v>
      </c>
      <c r="O90" s="15">
        <v>18</v>
      </c>
      <c r="P90" s="15">
        <v>31</v>
      </c>
      <c r="Q90" s="15" t="s">
        <v>235</v>
      </c>
      <c r="R90" s="15" t="s">
        <v>235</v>
      </c>
      <c r="S90" s="15" t="s">
        <v>235</v>
      </c>
      <c r="T90" s="15" t="s">
        <v>235</v>
      </c>
      <c r="U90" s="15">
        <v>1</v>
      </c>
      <c r="V90" s="15" t="s">
        <v>235</v>
      </c>
      <c r="W90" s="15">
        <v>1</v>
      </c>
      <c r="X90" s="15">
        <v>6</v>
      </c>
      <c r="Y90" s="15">
        <v>1016</v>
      </c>
      <c r="Z90" s="15">
        <v>1022</v>
      </c>
      <c r="AA90" s="15" t="s">
        <v>235</v>
      </c>
      <c r="AB90" s="15" t="s">
        <v>685</v>
      </c>
    </row>
    <row r="91" spans="1:28">
      <c r="A91" s="15" t="s">
        <v>501</v>
      </c>
      <c r="B91" s="166" t="str">
        <f t="shared" si="1"/>
        <v>352</v>
      </c>
      <c r="C91" s="15">
        <v>33</v>
      </c>
      <c r="D91" s="15">
        <v>10899</v>
      </c>
      <c r="E91" s="15">
        <v>1021</v>
      </c>
      <c r="F91" s="15">
        <v>1053</v>
      </c>
      <c r="G91" s="15">
        <v>1052</v>
      </c>
      <c r="H91" s="15">
        <v>59</v>
      </c>
      <c r="I91" s="15">
        <v>59</v>
      </c>
      <c r="J91" s="15">
        <v>0</v>
      </c>
      <c r="K91" s="15" t="s">
        <v>235</v>
      </c>
      <c r="L91" s="15">
        <v>0.5</v>
      </c>
      <c r="M91" s="15" t="s">
        <v>649</v>
      </c>
      <c r="N91" s="15" t="s">
        <v>235</v>
      </c>
      <c r="O91" s="15">
        <v>19</v>
      </c>
      <c r="P91" s="15">
        <v>70</v>
      </c>
      <c r="Q91" s="15" t="s">
        <v>235</v>
      </c>
      <c r="R91" s="15" t="s">
        <v>235</v>
      </c>
      <c r="S91" s="15" t="s">
        <v>235</v>
      </c>
      <c r="T91" s="15" t="s">
        <v>235</v>
      </c>
      <c r="U91" s="15">
        <v>1</v>
      </c>
      <c r="V91" s="15" t="s">
        <v>235</v>
      </c>
      <c r="W91" s="15">
        <v>1</v>
      </c>
      <c r="X91" s="15">
        <v>6</v>
      </c>
      <c r="Y91" s="15">
        <v>1016</v>
      </c>
      <c r="Z91" s="15">
        <v>1022</v>
      </c>
      <c r="AA91" s="15" t="s">
        <v>235</v>
      </c>
      <c r="AB91" s="15" t="s">
        <v>501</v>
      </c>
    </row>
    <row r="92" spans="1:28">
      <c r="A92" s="15" t="s">
        <v>502</v>
      </c>
      <c r="B92" s="166" t="str">
        <f t="shared" si="1"/>
        <v>352</v>
      </c>
      <c r="C92" s="15">
        <v>33</v>
      </c>
      <c r="D92" s="15">
        <v>10899</v>
      </c>
      <c r="E92" s="15">
        <v>1021</v>
      </c>
      <c r="F92" s="15">
        <v>1053</v>
      </c>
      <c r="G92" s="15">
        <v>1052</v>
      </c>
      <c r="H92" s="15">
        <v>60</v>
      </c>
      <c r="I92" s="15">
        <v>60</v>
      </c>
      <c r="J92" s="15">
        <v>0</v>
      </c>
      <c r="K92" s="15" t="s">
        <v>235</v>
      </c>
      <c r="L92" s="15">
        <v>0.5</v>
      </c>
      <c r="M92" s="15" t="s">
        <v>649</v>
      </c>
      <c r="N92" s="15" t="s">
        <v>235</v>
      </c>
      <c r="O92" s="15">
        <v>19</v>
      </c>
      <c r="P92" s="15">
        <v>70</v>
      </c>
      <c r="Q92" s="15" t="s">
        <v>235</v>
      </c>
      <c r="R92" s="15" t="s">
        <v>235</v>
      </c>
      <c r="S92" s="15" t="s">
        <v>235</v>
      </c>
      <c r="T92" s="15" t="s">
        <v>235</v>
      </c>
      <c r="U92" s="15">
        <v>1</v>
      </c>
      <c r="V92" s="15" t="s">
        <v>235</v>
      </c>
      <c r="W92" s="15">
        <v>1</v>
      </c>
      <c r="X92" s="15">
        <v>6</v>
      </c>
      <c r="Y92" s="15">
        <v>1016</v>
      </c>
      <c r="Z92" s="15">
        <v>1022</v>
      </c>
      <c r="AA92" s="15" t="s">
        <v>235</v>
      </c>
      <c r="AB92" s="15" t="s">
        <v>502</v>
      </c>
    </row>
    <row r="93" spans="1:28">
      <c r="A93" s="15" t="s">
        <v>503</v>
      </c>
      <c r="B93" s="166" t="str">
        <f t="shared" si="1"/>
        <v>352</v>
      </c>
      <c r="C93" s="15">
        <v>33</v>
      </c>
      <c r="D93" s="15">
        <v>10899</v>
      </c>
      <c r="E93" s="15">
        <v>1021</v>
      </c>
      <c r="F93" s="15">
        <v>1053</v>
      </c>
      <c r="G93" s="15">
        <v>1052</v>
      </c>
      <c r="H93" s="15">
        <v>61</v>
      </c>
      <c r="I93" s="15">
        <v>61</v>
      </c>
      <c r="J93" s="15">
        <v>0</v>
      </c>
      <c r="K93" s="15" t="s">
        <v>235</v>
      </c>
      <c r="L93" s="15">
        <v>0.5</v>
      </c>
      <c r="M93" s="15" t="s">
        <v>649</v>
      </c>
      <c r="N93" s="15" t="s">
        <v>235</v>
      </c>
      <c r="O93" s="15">
        <v>19</v>
      </c>
      <c r="P93" s="15">
        <v>70</v>
      </c>
      <c r="Q93" s="15" t="s">
        <v>235</v>
      </c>
      <c r="R93" s="15" t="s">
        <v>235</v>
      </c>
      <c r="S93" s="15" t="s">
        <v>235</v>
      </c>
      <c r="T93" s="15" t="s">
        <v>235</v>
      </c>
      <c r="U93" s="15">
        <v>1</v>
      </c>
      <c r="V93" s="15" t="s">
        <v>235</v>
      </c>
      <c r="W93" s="15">
        <v>1</v>
      </c>
      <c r="X93" s="15">
        <v>6</v>
      </c>
      <c r="Y93" s="15">
        <v>1016</v>
      </c>
      <c r="Z93" s="15">
        <v>1022</v>
      </c>
      <c r="AA93" s="15" t="s">
        <v>235</v>
      </c>
      <c r="AB93" s="15" t="s">
        <v>503</v>
      </c>
    </row>
    <row r="94" spans="1:28">
      <c r="A94" s="15" t="s">
        <v>504</v>
      </c>
      <c r="B94" s="166" t="str">
        <f t="shared" si="1"/>
        <v>352</v>
      </c>
      <c r="C94" s="15">
        <v>33</v>
      </c>
      <c r="D94" s="15">
        <v>10899</v>
      </c>
      <c r="E94" s="15">
        <v>1021</v>
      </c>
      <c r="F94" s="15">
        <v>1053</v>
      </c>
      <c r="G94" s="15">
        <v>1052</v>
      </c>
      <c r="H94" s="15">
        <v>62</v>
      </c>
      <c r="I94" s="15">
        <v>62</v>
      </c>
      <c r="J94" s="15">
        <v>0</v>
      </c>
      <c r="K94" s="15" t="s">
        <v>235</v>
      </c>
      <c r="L94" s="15">
        <v>0.5</v>
      </c>
      <c r="M94" s="15" t="s">
        <v>649</v>
      </c>
      <c r="N94" s="15" t="s">
        <v>235</v>
      </c>
      <c r="O94" s="15">
        <v>19</v>
      </c>
      <c r="P94" s="15">
        <v>70</v>
      </c>
      <c r="Q94" s="15" t="s">
        <v>235</v>
      </c>
      <c r="R94" s="15" t="s">
        <v>235</v>
      </c>
      <c r="S94" s="15" t="s">
        <v>235</v>
      </c>
      <c r="T94" s="15" t="s">
        <v>235</v>
      </c>
      <c r="U94" s="15">
        <v>1</v>
      </c>
      <c r="V94" s="15" t="s">
        <v>235</v>
      </c>
      <c r="W94" s="15">
        <v>1</v>
      </c>
      <c r="X94" s="15">
        <v>6</v>
      </c>
      <c r="Y94" s="15">
        <v>1016</v>
      </c>
      <c r="Z94" s="15">
        <v>1022</v>
      </c>
      <c r="AA94" s="15" t="s">
        <v>235</v>
      </c>
      <c r="AB94" s="15" t="s">
        <v>504</v>
      </c>
    </row>
    <row r="95" spans="1:28">
      <c r="A95" s="15" t="s">
        <v>505</v>
      </c>
      <c r="B95" s="166" t="str">
        <f t="shared" si="1"/>
        <v>352</v>
      </c>
      <c r="C95" s="15">
        <v>33</v>
      </c>
      <c r="D95" s="15">
        <v>10899</v>
      </c>
      <c r="E95" s="15">
        <v>1021</v>
      </c>
      <c r="F95" s="15">
        <v>1053</v>
      </c>
      <c r="G95" s="15">
        <v>1052</v>
      </c>
      <c r="H95" s="15">
        <v>63</v>
      </c>
      <c r="I95" s="15">
        <v>63</v>
      </c>
      <c r="J95" s="15">
        <v>0</v>
      </c>
      <c r="K95" s="15" t="s">
        <v>235</v>
      </c>
      <c r="L95" s="15">
        <v>0.5</v>
      </c>
      <c r="M95" s="15" t="s">
        <v>649</v>
      </c>
      <c r="N95" s="15" t="s">
        <v>235</v>
      </c>
      <c r="O95" s="15">
        <v>19</v>
      </c>
      <c r="P95" s="15">
        <v>70</v>
      </c>
      <c r="Q95" s="15" t="s">
        <v>235</v>
      </c>
      <c r="R95" s="15" t="s">
        <v>235</v>
      </c>
      <c r="S95" s="15" t="s">
        <v>235</v>
      </c>
      <c r="T95" s="15" t="s">
        <v>235</v>
      </c>
      <c r="U95" s="15">
        <v>1</v>
      </c>
      <c r="V95" s="15" t="s">
        <v>235</v>
      </c>
      <c r="W95" s="15">
        <v>1</v>
      </c>
      <c r="X95" s="15">
        <v>6</v>
      </c>
      <c r="Y95" s="15">
        <v>1016</v>
      </c>
      <c r="Z95" s="15">
        <v>1022</v>
      </c>
      <c r="AA95" s="15" t="s">
        <v>235</v>
      </c>
      <c r="AB95" s="15" t="s">
        <v>505</v>
      </c>
    </row>
    <row r="96" spans="1:28">
      <c r="A96" s="15" t="s">
        <v>684</v>
      </c>
      <c r="B96" s="166" t="str">
        <f t="shared" si="1"/>
        <v>352</v>
      </c>
      <c r="C96" s="15">
        <v>33</v>
      </c>
      <c r="D96" s="15">
        <v>1014</v>
      </c>
      <c r="E96" s="15">
        <v>1019</v>
      </c>
      <c r="F96" s="15">
        <v>1053</v>
      </c>
      <c r="G96" s="15">
        <v>1052</v>
      </c>
      <c r="H96" s="15">
        <v>206</v>
      </c>
      <c r="I96" s="15">
        <v>206</v>
      </c>
      <c r="J96" s="15">
        <v>0</v>
      </c>
      <c r="K96" s="15" t="s">
        <v>235</v>
      </c>
      <c r="L96" s="15">
        <v>0.5</v>
      </c>
      <c r="M96" s="15" t="s">
        <v>649</v>
      </c>
      <c r="N96" s="15" t="s">
        <v>235</v>
      </c>
      <c r="O96" s="15">
        <v>19</v>
      </c>
      <c r="P96" s="15">
        <v>70</v>
      </c>
      <c r="Q96" s="15" t="s">
        <v>235</v>
      </c>
      <c r="R96" s="15" t="s">
        <v>235</v>
      </c>
      <c r="S96" s="15" t="s">
        <v>235</v>
      </c>
      <c r="T96" s="15" t="s">
        <v>235</v>
      </c>
      <c r="U96" s="15">
        <v>1</v>
      </c>
      <c r="V96" s="15" t="s">
        <v>235</v>
      </c>
      <c r="W96" s="15">
        <v>1</v>
      </c>
      <c r="X96" s="15">
        <v>6</v>
      </c>
      <c r="Y96" s="15">
        <v>1043</v>
      </c>
      <c r="Z96" s="15">
        <v>1047</v>
      </c>
      <c r="AA96" s="15" t="s">
        <v>235</v>
      </c>
      <c r="AB96" s="15" t="s">
        <v>684</v>
      </c>
    </row>
    <row r="97" spans="1:28">
      <c r="A97" s="15" t="s">
        <v>683</v>
      </c>
      <c r="B97" s="166" t="str">
        <f t="shared" si="1"/>
        <v>352</v>
      </c>
      <c r="C97" s="15">
        <v>33</v>
      </c>
      <c r="D97" s="15">
        <v>1014</v>
      </c>
      <c r="E97" s="15">
        <v>1019</v>
      </c>
      <c r="F97" s="15">
        <v>1053</v>
      </c>
      <c r="G97" s="15">
        <v>1052</v>
      </c>
      <c r="H97" s="15">
        <v>207</v>
      </c>
      <c r="I97" s="15">
        <v>207</v>
      </c>
      <c r="J97" s="15">
        <v>0</v>
      </c>
      <c r="K97" s="15" t="s">
        <v>235</v>
      </c>
      <c r="L97" s="15">
        <v>0.5</v>
      </c>
      <c r="M97" s="15" t="s">
        <v>649</v>
      </c>
      <c r="N97" s="15" t="s">
        <v>235</v>
      </c>
      <c r="O97" s="15">
        <v>19</v>
      </c>
      <c r="P97" s="15">
        <v>70</v>
      </c>
      <c r="Q97" s="15" t="s">
        <v>235</v>
      </c>
      <c r="R97" s="15" t="s">
        <v>235</v>
      </c>
      <c r="S97" s="15" t="s">
        <v>235</v>
      </c>
      <c r="T97" s="15" t="s">
        <v>235</v>
      </c>
      <c r="U97" s="15">
        <v>1</v>
      </c>
      <c r="V97" s="15" t="s">
        <v>235</v>
      </c>
      <c r="W97" s="15">
        <v>1</v>
      </c>
      <c r="X97" s="15">
        <v>6</v>
      </c>
      <c r="Y97" s="15">
        <v>1043</v>
      </c>
      <c r="Z97" s="15">
        <v>1047</v>
      </c>
      <c r="AA97" s="15" t="s">
        <v>235</v>
      </c>
      <c r="AB97" s="15" t="s">
        <v>683</v>
      </c>
    </row>
    <row r="98" spans="1:28">
      <c r="A98" s="15" t="s">
        <v>506</v>
      </c>
      <c r="B98" s="166" t="str">
        <f t="shared" si="1"/>
        <v>353</v>
      </c>
      <c r="C98" s="15">
        <v>33</v>
      </c>
      <c r="D98" s="15">
        <v>10899</v>
      </c>
      <c r="E98" s="15">
        <v>1021</v>
      </c>
      <c r="F98" s="15">
        <v>1053</v>
      </c>
      <c r="G98" s="15">
        <v>1052</v>
      </c>
      <c r="H98" s="15">
        <v>64</v>
      </c>
      <c r="I98" s="15">
        <v>64</v>
      </c>
      <c r="J98" s="15">
        <v>0</v>
      </c>
      <c r="K98" s="15" t="s">
        <v>235</v>
      </c>
      <c r="L98" s="15">
        <v>0.5</v>
      </c>
      <c r="M98" s="15" t="s">
        <v>649</v>
      </c>
      <c r="N98" s="15" t="s">
        <v>235</v>
      </c>
      <c r="O98" s="15">
        <v>20</v>
      </c>
      <c r="P98" s="15">
        <v>70</v>
      </c>
      <c r="Q98" s="15" t="s">
        <v>235</v>
      </c>
      <c r="R98" s="15" t="s">
        <v>235</v>
      </c>
      <c r="S98" s="15" t="s">
        <v>235</v>
      </c>
      <c r="T98" s="15" t="s">
        <v>235</v>
      </c>
      <c r="U98" s="15">
        <v>1</v>
      </c>
      <c r="V98" s="15" t="s">
        <v>235</v>
      </c>
      <c r="W98" s="15">
        <v>1</v>
      </c>
      <c r="X98" s="15">
        <v>6</v>
      </c>
      <c r="Y98" s="15">
        <v>1016</v>
      </c>
      <c r="Z98" s="15">
        <v>1022</v>
      </c>
      <c r="AA98" s="15" t="s">
        <v>235</v>
      </c>
      <c r="AB98" s="15" t="s">
        <v>506</v>
      </c>
    </row>
    <row r="99" spans="1:28">
      <c r="A99" s="15" t="s">
        <v>507</v>
      </c>
      <c r="B99" s="166" t="str">
        <f t="shared" si="1"/>
        <v>353</v>
      </c>
      <c r="C99" s="15">
        <v>33</v>
      </c>
      <c r="D99" s="15">
        <v>10899</v>
      </c>
      <c r="E99" s="15">
        <v>1021</v>
      </c>
      <c r="F99" s="15">
        <v>1053</v>
      </c>
      <c r="G99" s="15">
        <v>1052</v>
      </c>
      <c r="H99" s="15">
        <v>65</v>
      </c>
      <c r="I99" s="15">
        <v>65</v>
      </c>
      <c r="J99" s="15">
        <v>0</v>
      </c>
      <c r="K99" s="15" t="s">
        <v>235</v>
      </c>
      <c r="L99" s="15">
        <v>0.5</v>
      </c>
      <c r="M99" s="15" t="s">
        <v>649</v>
      </c>
      <c r="N99" s="15" t="s">
        <v>235</v>
      </c>
      <c r="O99" s="15">
        <v>20</v>
      </c>
      <c r="P99" s="15">
        <v>70</v>
      </c>
      <c r="Q99" s="15" t="s">
        <v>235</v>
      </c>
      <c r="R99" s="15" t="s">
        <v>235</v>
      </c>
      <c r="S99" s="15" t="s">
        <v>235</v>
      </c>
      <c r="T99" s="15" t="s">
        <v>235</v>
      </c>
      <c r="U99" s="15">
        <v>1</v>
      </c>
      <c r="V99" s="15" t="s">
        <v>235</v>
      </c>
      <c r="W99" s="15">
        <v>1</v>
      </c>
      <c r="X99" s="15">
        <v>6</v>
      </c>
      <c r="Y99" s="15">
        <v>1016</v>
      </c>
      <c r="Z99" s="15">
        <v>1022</v>
      </c>
      <c r="AA99" s="15" t="s">
        <v>235</v>
      </c>
      <c r="AB99" s="15" t="s">
        <v>507</v>
      </c>
    </row>
    <row r="100" spans="1:28">
      <c r="A100" s="15" t="s">
        <v>508</v>
      </c>
      <c r="B100" s="166" t="str">
        <f t="shared" si="1"/>
        <v>353</v>
      </c>
      <c r="C100" s="15">
        <v>33</v>
      </c>
      <c r="D100" s="15">
        <v>10899</v>
      </c>
      <c r="E100" s="15">
        <v>1021</v>
      </c>
      <c r="F100" s="15">
        <v>1053</v>
      </c>
      <c r="G100" s="15">
        <v>1052</v>
      </c>
      <c r="H100" s="15">
        <v>66</v>
      </c>
      <c r="I100" s="15">
        <v>66</v>
      </c>
      <c r="J100" s="15">
        <v>0</v>
      </c>
      <c r="K100" s="15" t="s">
        <v>235</v>
      </c>
      <c r="L100" s="15">
        <v>0.5</v>
      </c>
      <c r="M100" s="15" t="s">
        <v>649</v>
      </c>
      <c r="N100" s="15" t="s">
        <v>235</v>
      </c>
      <c r="O100" s="15">
        <v>20</v>
      </c>
      <c r="P100" s="15">
        <v>70</v>
      </c>
      <c r="Q100" s="15" t="s">
        <v>235</v>
      </c>
      <c r="R100" s="15" t="s">
        <v>235</v>
      </c>
      <c r="S100" s="15" t="s">
        <v>235</v>
      </c>
      <c r="T100" s="15" t="s">
        <v>235</v>
      </c>
      <c r="U100" s="15">
        <v>1</v>
      </c>
      <c r="V100" s="15" t="s">
        <v>235</v>
      </c>
      <c r="W100" s="15">
        <v>1</v>
      </c>
      <c r="X100" s="15">
        <v>6</v>
      </c>
      <c r="Y100" s="15">
        <v>1016</v>
      </c>
      <c r="Z100" s="15">
        <v>1022</v>
      </c>
      <c r="AA100" s="15" t="s">
        <v>235</v>
      </c>
      <c r="AB100" s="15" t="s">
        <v>508</v>
      </c>
    </row>
    <row r="101" spans="1:28">
      <c r="A101" s="15" t="s">
        <v>509</v>
      </c>
      <c r="B101" s="166" t="str">
        <f t="shared" si="1"/>
        <v>353</v>
      </c>
      <c r="C101" s="15">
        <v>33</v>
      </c>
      <c r="D101" s="15">
        <v>10899</v>
      </c>
      <c r="E101" s="15">
        <v>1021</v>
      </c>
      <c r="F101" s="15">
        <v>1053</v>
      </c>
      <c r="G101" s="15">
        <v>1052</v>
      </c>
      <c r="H101" s="15">
        <v>67</v>
      </c>
      <c r="I101" s="15">
        <v>67</v>
      </c>
      <c r="J101" s="15">
        <v>0</v>
      </c>
      <c r="K101" s="15" t="s">
        <v>235</v>
      </c>
      <c r="L101" s="15">
        <v>0.5</v>
      </c>
      <c r="M101" s="15" t="s">
        <v>649</v>
      </c>
      <c r="N101" s="15" t="s">
        <v>235</v>
      </c>
      <c r="O101" s="15">
        <v>20</v>
      </c>
      <c r="P101" s="15">
        <v>70</v>
      </c>
      <c r="Q101" s="15" t="s">
        <v>235</v>
      </c>
      <c r="R101" s="15" t="s">
        <v>235</v>
      </c>
      <c r="S101" s="15" t="s">
        <v>235</v>
      </c>
      <c r="T101" s="15" t="s">
        <v>235</v>
      </c>
      <c r="U101" s="15">
        <v>1</v>
      </c>
      <c r="V101" s="15" t="s">
        <v>235</v>
      </c>
      <c r="W101" s="15">
        <v>1</v>
      </c>
      <c r="X101" s="15">
        <v>6</v>
      </c>
      <c r="Y101" s="15">
        <v>1016</v>
      </c>
      <c r="Z101" s="15">
        <v>1022</v>
      </c>
      <c r="AA101" s="15" t="s">
        <v>235</v>
      </c>
      <c r="AB101" s="15" t="s">
        <v>509</v>
      </c>
    </row>
    <row r="102" spans="1:28">
      <c r="A102" s="15" t="s">
        <v>510</v>
      </c>
      <c r="B102" s="166" t="str">
        <f t="shared" si="1"/>
        <v>353</v>
      </c>
      <c r="C102" s="15">
        <v>33</v>
      </c>
      <c r="D102" s="15">
        <v>10899</v>
      </c>
      <c r="E102" s="15">
        <v>1021</v>
      </c>
      <c r="F102" s="15">
        <v>1053</v>
      </c>
      <c r="G102" s="15">
        <v>1052</v>
      </c>
      <c r="H102" s="15">
        <v>68</v>
      </c>
      <c r="I102" s="15">
        <v>68</v>
      </c>
      <c r="J102" s="15">
        <v>0</v>
      </c>
      <c r="K102" s="15" t="s">
        <v>235</v>
      </c>
      <c r="L102" s="15">
        <v>0.5</v>
      </c>
      <c r="M102" s="15" t="s">
        <v>649</v>
      </c>
      <c r="N102" s="15" t="s">
        <v>235</v>
      </c>
      <c r="O102" s="15">
        <v>20</v>
      </c>
      <c r="P102" s="15">
        <v>70</v>
      </c>
      <c r="Q102" s="15" t="s">
        <v>235</v>
      </c>
      <c r="R102" s="15" t="s">
        <v>235</v>
      </c>
      <c r="S102" s="15" t="s">
        <v>235</v>
      </c>
      <c r="T102" s="15" t="s">
        <v>235</v>
      </c>
      <c r="U102" s="15">
        <v>1</v>
      </c>
      <c r="V102" s="15" t="s">
        <v>235</v>
      </c>
      <c r="W102" s="15">
        <v>1</v>
      </c>
      <c r="X102" s="15">
        <v>6</v>
      </c>
      <c r="Y102" s="15">
        <v>1016</v>
      </c>
      <c r="Z102" s="15">
        <v>1022</v>
      </c>
      <c r="AA102" s="15" t="s">
        <v>235</v>
      </c>
      <c r="AB102" s="15" t="s">
        <v>510</v>
      </c>
    </row>
    <row r="103" spans="1:28">
      <c r="A103" s="15" t="s">
        <v>682</v>
      </c>
      <c r="B103" s="166" t="str">
        <f t="shared" si="1"/>
        <v>353</v>
      </c>
      <c r="C103" s="15">
        <v>33</v>
      </c>
      <c r="D103" s="15">
        <v>1014</v>
      </c>
      <c r="E103" s="15">
        <v>1019</v>
      </c>
      <c r="F103" s="15">
        <v>1053</v>
      </c>
      <c r="G103" s="15">
        <v>1052</v>
      </c>
      <c r="H103" s="15">
        <v>208</v>
      </c>
      <c r="I103" s="15">
        <v>208</v>
      </c>
      <c r="J103" s="15">
        <v>0</v>
      </c>
      <c r="K103" s="15" t="s">
        <v>235</v>
      </c>
      <c r="L103" s="15">
        <v>0.5</v>
      </c>
      <c r="M103" s="15" t="s">
        <v>649</v>
      </c>
      <c r="N103" s="15" t="s">
        <v>235</v>
      </c>
      <c r="O103" s="15">
        <v>20</v>
      </c>
      <c r="P103" s="15">
        <v>70</v>
      </c>
      <c r="Q103" s="15" t="s">
        <v>235</v>
      </c>
      <c r="R103" s="15" t="s">
        <v>235</v>
      </c>
      <c r="S103" s="15" t="s">
        <v>235</v>
      </c>
      <c r="T103" s="15" t="s">
        <v>235</v>
      </c>
      <c r="U103" s="15">
        <v>1</v>
      </c>
      <c r="V103" s="15" t="s">
        <v>235</v>
      </c>
      <c r="W103" s="15">
        <v>1</v>
      </c>
      <c r="X103" s="15">
        <v>6</v>
      </c>
      <c r="Y103" s="15">
        <v>1043</v>
      </c>
      <c r="Z103" s="15">
        <v>1047</v>
      </c>
      <c r="AA103" s="15" t="s">
        <v>235</v>
      </c>
      <c r="AB103" s="15" t="s">
        <v>682</v>
      </c>
    </row>
    <row r="104" spans="1:28">
      <c r="A104" s="15" t="s">
        <v>681</v>
      </c>
      <c r="B104" s="166" t="str">
        <f t="shared" si="1"/>
        <v>353</v>
      </c>
      <c r="C104" s="15">
        <v>33</v>
      </c>
      <c r="D104" s="15">
        <v>1014</v>
      </c>
      <c r="E104" s="15">
        <v>1019</v>
      </c>
      <c r="F104" s="15">
        <v>1053</v>
      </c>
      <c r="G104" s="15">
        <v>1052</v>
      </c>
      <c r="H104" s="15">
        <v>209</v>
      </c>
      <c r="I104" s="15">
        <v>209</v>
      </c>
      <c r="J104" s="15">
        <v>0</v>
      </c>
      <c r="K104" s="15" t="s">
        <v>235</v>
      </c>
      <c r="L104" s="15">
        <v>0.5</v>
      </c>
      <c r="M104" s="15" t="s">
        <v>649</v>
      </c>
      <c r="N104" s="15" t="s">
        <v>235</v>
      </c>
      <c r="O104" s="15">
        <v>20</v>
      </c>
      <c r="P104" s="15">
        <v>70</v>
      </c>
      <c r="Q104" s="15" t="s">
        <v>235</v>
      </c>
      <c r="R104" s="15" t="s">
        <v>235</v>
      </c>
      <c r="S104" s="15" t="s">
        <v>235</v>
      </c>
      <c r="T104" s="15" t="s">
        <v>235</v>
      </c>
      <c r="U104" s="15">
        <v>1</v>
      </c>
      <c r="V104" s="15" t="s">
        <v>235</v>
      </c>
      <c r="W104" s="15">
        <v>1</v>
      </c>
      <c r="X104" s="15">
        <v>6</v>
      </c>
      <c r="Y104" s="15">
        <v>1043</v>
      </c>
      <c r="Z104" s="15">
        <v>1047</v>
      </c>
      <c r="AA104" s="15" t="s">
        <v>235</v>
      </c>
      <c r="AB104" s="15" t="s">
        <v>681</v>
      </c>
    </row>
    <row r="105" spans="1:28">
      <c r="A105" s="15" t="s">
        <v>511</v>
      </c>
      <c r="B105" s="166" t="str">
        <f t="shared" si="1"/>
        <v>354</v>
      </c>
      <c r="C105" s="15">
        <v>33</v>
      </c>
      <c r="D105" s="15">
        <v>10899</v>
      </c>
      <c r="E105" s="15">
        <v>1021</v>
      </c>
      <c r="F105" s="15">
        <v>1053</v>
      </c>
      <c r="G105" s="15">
        <v>1052</v>
      </c>
      <c r="H105" s="15">
        <v>69</v>
      </c>
      <c r="I105" s="15">
        <v>69</v>
      </c>
      <c r="J105" s="15">
        <v>0</v>
      </c>
      <c r="K105" s="15" t="s">
        <v>235</v>
      </c>
      <c r="L105" s="15">
        <v>0.5</v>
      </c>
      <c r="M105" s="15" t="s">
        <v>649</v>
      </c>
      <c r="N105" s="15" t="s">
        <v>235</v>
      </c>
      <c r="O105" s="15">
        <v>21</v>
      </c>
      <c r="P105" s="15">
        <v>70</v>
      </c>
      <c r="Q105" s="15" t="s">
        <v>235</v>
      </c>
      <c r="R105" s="15" t="s">
        <v>235</v>
      </c>
      <c r="S105" s="15" t="s">
        <v>235</v>
      </c>
      <c r="T105" s="15" t="s">
        <v>235</v>
      </c>
      <c r="U105" s="15">
        <v>1</v>
      </c>
      <c r="V105" s="15" t="s">
        <v>235</v>
      </c>
      <c r="W105" s="15">
        <v>1</v>
      </c>
      <c r="X105" s="15">
        <v>6</v>
      </c>
      <c r="Y105" s="15">
        <v>1016</v>
      </c>
      <c r="Z105" s="15">
        <v>1022</v>
      </c>
      <c r="AA105" s="15" t="s">
        <v>235</v>
      </c>
      <c r="AB105" s="15" t="s">
        <v>511</v>
      </c>
    </row>
    <row r="106" spans="1:28">
      <c r="A106" s="15" t="s">
        <v>680</v>
      </c>
      <c r="B106" s="166" t="str">
        <f t="shared" si="1"/>
        <v>354</v>
      </c>
      <c r="C106" s="15">
        <v>33</v>
      </c>
      <c r="D106" s="15">
        <v>1014</v>
      </c>
      <c r="E106" s="15">
        <v>1019</v>
      </c>
      <c r="F106" s="15">
        <v>1053</v>
      </c>
      <c r="G106" s="15">
        <v>1052</v>
      </c>
      <c r="H106" s="15">
        <v>210</v>
      </c>
      <c r="I106" s="15">
        <v>210</v>
      </c>
      <c r="J106" s="15">
        <v>0</v>
      </c>
      <c r="K106" s="15" t="s">
        <v>235</v>
      </c>
      <c r="L106" s="15">
        <v>0.5</v>
      </c>
      <c r="M106" s="15" t="s">
        <v>649</v>
      </c>
      <c r="N106" s="15" t="s">
        <v>235</v>
      </c>
      <c r="O106" s="15">
        <v>21</v>
      </c>
      <c r="P106" s="15">
        <v>70</v>
      </c>
      <c r="Q106" s="15" t="s">
        <v>235</v>
      </c>
      <c r="R106" s="15" t="s">
        <v>235</v>
      </c>
      <c r="S106" s="15" t="s">
        <v>235</v>
      </c>
      <c r="T106" s="15" t="s">
        <v>235</v>
      </c>
      <c r="U106" s="15">
        <v>1</v>
      </c>
      <c r="V106" s="15" t="s">
        <v>235</v>
      </c>
      <c r="W106" s="15">
        <v>1</v>
      </c>
      <c r="X106" s="15">
        <v>6</v>
      </c>
      <c r="Y106" s="15">
        <v>1043</v>
      </c>
      <c r="Z106" s="15">
        <v>1047</v>
      </c>
      <c r="AA106" s="15" t="s">
        <v>235</v>
      </c>
      <c r="AB106" s="15" t="s">
        <v>680</v>
      </c>
    </row>
    <row r="107" spans="1:28">
      <c r="A107" s="15" t="s">
        <v>512</v>
      </c>
      <c r="B107" s="166" t="str">
        <f t="shared" si="1"/>
        <v>355</v>
      </c>
      <c r="C107" s="15">
        <v>33</v>
      </c>
      <c r="D107" s="15">
        <v>10899</v>
      </c>
      <c r="E107" s="15">
        <v>1021</v>
      </c>
      <c r="F107" s="15">
        <v>1053</v>
      </c>
      <c r="G107" s="15">
        <v>1052</v>
      </c>
      <c r="H107" s="15">
        <v>70</v>
      </c>
      <c r="I107" s="15">
        <v>70</v>
      </c>
      <c r="J107" s="15">
        <v>0</v>
      </c>
      <c r="K107" s="15" t="s">
        <v>235</v>
      </c>
      <c r="L107" s="15">
        <v>0.5</v>
      </c>
      <c r="M107" s="15" t="s">
        <v>649</v>
      </c>
      <c r="N107" s="15" t="s">
        <v>235</v>
      </c>
      <c r="O107" s="15">
        <v>22</v>
      </c>
      <c r="P107" s="15">
        <v>70</v>
      </c>
      <c r="Q107" s="15" t="s">
        <v>235</v>
      </c>
      <c r="R107" s="15" t="s">
        <v>235</v>
      </c>
      <c r="S107" s="15" t="s">
        <v>235</v>
      </c>
      <c r="T107" s="15" t="s">
        <v>235</v>
      </c>
      <c r="U107" s="15">
        <v>1</v>
      </c>
      <c r="V107" s="15" t="s">
        <v>235</v>
      </c>
      <c r="W107" s="15">
        <v>1</v>
      </c>
      <c r="X107" s="15">
        <v>6</v>
      </c>
      <c r="Y107" s="15">
        <v>1016</v>
      </c>
      <c r="Z107" s="15">
        <v>1022</v>
      </c>
      <c r="AA107" s="15" t="s">
        <v>235</v>
      </c>
      <c r="AB107" s="15" t="s">
        <v>512</v>
      </c>
    </row>
    <row r="108" spans="1:28">
      <c r="A108" s="15" t="s">
        <v>513</v>
      </c>
      <c r="B108" s="166" t="str">
        <f t="shared" si="1"/>
        <v>355</v>
      </c>
      <c r="C108" s="15">
        <v>33</v>
      </c>
      <c r="D108" s="15">
        <v>10899</v>
      </c>
      <c r="E108" s="15">
        <v>1021</v>
      </c>
      <c r="F108" s="15">
        <v>1053</v>
      </c>
      <c r="G108" s="15">
        <v>1052</v>
      </c>
      <c r="H108" s="15">
        <v>71</v>
      </c>
      <c r="I108" s="15">
        <v>71</v>
      </c>
      <c r="J108" s="15">
        <v>0</v>
      </c>
      <c r="K108" s="15" t="s">
        <v>235</v>
      </c>
      <c r="L108" s="15">
        <v>0.5</v>
      </c>
      <c r="M108" s="15" t="s">
        <v>649</v>
      </c>
      <c r="N108" s="15" t="s">
        <v>235</v>
      </c>
      <c r="O108" s="15">
        <v>22</v>
      </c>
      <c r="P108" s="15">
        <v>70</v>
      </c>
      <c r="Q108" s="15" t="s">
        <v>235</v>
      </c>
      <c r="R108" s="15" t="s">
        <v>235</v>
      </c>
      <c r="S108" s="15" t="s">
        <v>235</v>
      </c>
      <c r="T108" s="15" t="s">
        <v>235</v>
      </c>
      <c r="U108" s="15">
        <v>1</v>
      </c>
      <c r="V108" s="15" t="s">
        <v>235</v>
      </c>
      <c r="W108" s="15">
        <v>1</v>
      </c>
      <c r="X108" s="15">
        <v>6</v>
      </c>
      <c r="Y108" s="15">
        <v>1016</v>
      </c>
      <c r="Z108" s="15">
        <v>1022</v>
      </c>
      <c r="AA108" s="15" t="s">
        <v>235</v>
      </c>
      <c r="AB108" s="15" t="s">
        <v>513</v>
      </c>
    </row>
    <row r="109" spans="1:28">
      <c r="A109" s="15" t="s">
        <v>514</v>
      </c>
      <c r="B109" s="166" t="str">
        <f t="shared" si="1"/>
        <v>355</v>
      </c>
      <c r="C109" s="15">
        <v>33</v>
      </c>
      <c r="D109" s="15">
        <v>10899</v>
      </c>
      <c r="E109" s="15">
        <v>1021</v>
      </c>
      <c r="F109" s="15">
        <v>1053</v>
      </c>
      <c r="G109" s="15">
        <v>1052</v>
      </c>
      <c r="H109" s="15">
        <v>72</v>
      </c>
      <c r="I109" s="15">
        <v>72</v>
      </c>
      <c r="J109" s="15">
        <v>0</v>
      </c>
      <c r="K109" s="15" t="s">
        <v>235</v>
      </c>
      <c r="L109" s="15">
        <v>0.5</v>
      </c>
      <c r="M109" s="15" t="s">
        <v>649</v>
      </c>
      <c r="N109" s="15" t="s">
        <v>235</v>
      </c>
      <c r="O109" s="15">
        <v>22</v>
      </c>
      <c r="P109" s="15">
        <v>70</v>
      </c>
      <c r="Q109" s="15" t="s">
        <v>235</v>
      </c>
      <c r="R109" s="15" t="s">
        <v>235</v>
      </c>
      <c r="S109" s="15" t="s">
        <v>235</v>
      </c>
      <c r="T109" s="15" t="s">
        <v>235</v>
      </c>
      <c r="U109" s="15">
        <v>1</v>
      </c>
      <c r="V109" s="15" t="s">
        <v>235</v>
      </c>
      <c r="W109" s="15">
        <v>1</v>
      </c>
      <c r="X109" s="15">
        <v>6</v>
      </c>
      <c r="Y109" s="15">
        <v>1016</v>
      </c>
      <c r="Z109" s="15">
        <v>1022</v>
      </c>
      <c r="AA109" s="15" t="s">
        <v>235</v>
      </c>
      <c r="AB109" s="15" t="s">
        <v>514</v>
      </c>
    </row>
    <row r="110" spans="1:28">
      <c r="A110" s="15" t="s">
        <v>679</v>
      </c>
      <c r="B110" s="166" t="str">
        <f t="shared" si="1"/>
        <v>355</v>
      </c>
      <c r="C110" s="15">
        <v>33</v>
      </c>
      <c r="D110" s="15">
        <v>1014</v>
      </c>
      <c r="E110" s="15">
        <v>1019</v>
      </c>
      <c r="F110" s="15">
        <v>1053</v>
      </c>
      <c r="G110" s="15">
        <v>1052</v>
      </c>
      <c r="H110" s="15">
        <v>211</v>
      </c>
      <c r="I110" s="15">
        <v>211</v>
      </c>
      <c r="J110" s="15">
        <v>0</v>
      </c>
      <c r="K110" s="15" t="s">
        <v>235</v>
      </c>
      <c r="L110" s="15">
        <v>0.5</v>
      </c>
      <c r="M110" s="15" t="s">
        <v>649</v>
      </c>
      <c r="N110" s="15" t="s">
        <v>235</v>
      </c>
      <c r="O110" s="15">
        <v>22</v>
      </c>
      <c r="P110" s="15">
        <v>70</v>
      </c>
      <c r="Q110" s="15" t="s">
        <v>235</v>
      </c>
      <c r="R110" s="15" t="s">
        <v>235</v>
      </c>
      <c r="S110" s="15" t="s">
        <v>235</v>
      </c>
      <c r="T110" s="15" t="s">
        <v>235</v>
      </c>
      <c r="U110" s="15">
        <v>1</v>
      </c>
      <c r="V110" s="15" t="s">
        <v>235</v>
      </c>
      <c r="W110" s="15">
        <v>1</v>
      </c>
      <c r="X110" s="15">
        <v>6</v>
      </c>
      <c r="Y110" s="15">
        <v>1043</v>
      </c>
      <c r="Z110" s="15">
        <v>1047</v>
      </c>
      <c r="AA110" s="15" t="s">
        <v>235</v>
      </c>
      <c r="AB110" s="15" t="s">
        <v>679</v>
      </c>
    </row>
    <row r="111" spans="1:28">
      <c r="A111" s="15" t="s">
        <v>515</v>
      </c>
      <c r="B111" s="166" t="str">
        <f t="shared" si="1"/>
        <v>356</v>
      </c>
      <c r="C111" s="15">
        <v>33</v>
      </c>
      <c r="D111" s="15">
        <v>10899</v>
      </c>
      <c r="E111" s="15">
        <v>1021</v>
      </c>
      <c r="F111" s="15">
        <v>1053</v>
      </c>
      <c r="G111" s="15">
        <v>1052</v>
      </c>
      <c r="H111" s="15">
        <v>73</v>
      </c>
      <c r="I111" s="15">
        <v>73</v>
      </c>
      <c r="J111" s="15">
        <v>0</v>
      </c>
      <c r="K111" s="15" t="s">
        <v>235</v>
      </c>
      <c r="L111" s="15">
        <v>0.5</v>
      </c>
      <c r="M111" s="15" t="s">
        <v>649</v>
      </c>
      <c r="N111" s="15" t="s">
        <v>235</v>
      </c>
      <c r="O111" s="15">
        <v>23</v>
      </c>
      <c r="P111" s="15">
        <v>70</v>
      </c>
      <c r="Q111" s="15" t="s">
        <v>235</v>
      </c>
      <c r="R111" s="15" t="s">
        <v>235</v>
      </c>
      <c r="S111" s="15" t="s">
        <v>235</v>
      </c>
      <c r="T111" s="15" t="s">
        <v>235</v>
      </c>
      <c r="U111" s="15">
        <v>1</v>
      </c>
      <c r="V111" s="15" t="s">
        <v>235</v>
      </c>
      <c r="W111" s="15">
        <v>1</v>
      </c>
      <c r="X111" s="15">
        <v>6</v>
      </c>
      <c r="Y111" s="15">
        <v>1016</v>
      </c>
      <c r="Z111" s="15">
        <v>1022</v>
      </c>
      <c r="AA111" s="15" t="s">
        <v>235</v>
      </c>
      <c r="AB111" s="15" t="s">
        <v>515</v>
      </c>
    </row>
    <row r="112" spans="1:28">
      <c r="A112" s="15" t="s">
        <v>516</v>
      </c>
      <c r="B112" s="166" t="str">
        <f t="shared" si="1"/>
        <v>356</v>
      </c>
      <c r="C112" s="15">
        <v>33</v>
      </c>
      <c r="D112" s="15">
        <v>10899</v>
      </c>
      <c r="E112" s="15">
        <v>1021</v>
      </c>
      <c r="F112" s="15">
        <v>1053</v>
      </c>
      <c r="G112" s="15">
        <v>1052</v>
      </c>
      <c r="H112" s="15">
        <v>74</v>
      </c>
      <c r="I112" s="15">
        <v>74</v>
      </c>
      <c r="J112" s="15">
        <v>0</v>
      </c>
      <c r="K112" s="15" t="s">
        <v>235</v>
      </c>
      <c r="L112" s="15">
        <v>0.5</v>
      </c>
      <c r="M112" s="15" t="s">
        <v>649</v>
      </c>
      <c r="N112" s="15" t="s">
        <v>235</v>
      </c>
      <c r="O112" s="15">
        <v>23</v>
      </c>
      <c r="P112" s="15">
        <v>70</v>
      </c>
      <c r="Q112" s="15" t="s">
        <v>235</v>
      </c>
      <c r="R112" s="15" t="s">
        <v>235</v>
      </c>
      <c r="S112" s="15" t="s">
        <v>235</v>
      </c>
      <c r="T112" s="15" t="s">
        <v>235</v>
      </c>
      <c r="U112" s="15">
        <v>1</v>
      </c>
      <c r="V112" s="15" t="s">
        <v>235</v>
      </c>
      <c r="W112" s="15">
        <v>1</v>
      </c>
      <c r="X112" s="15">
        <v>6</v>
      </c>
      <c r="Y112" s="15">
        <v>1016</v>
      </c>
      <c r="Z112" s="15">
        <v>1022</v>
      </c>
      <c r="AA112" s="15" t="s">
        <v>235</v>
      </c>
      <c r="AB112" s="15" t="s">
        <v>516</v>
      </c>
    </row>
    <row r="113" spans="1:28">
      <c r="A113" s="15" t="s">
        <v>517</v>
      </c>
      <c r="B113" s="166" t="str">
        <f t="shared" si="1"/>
        <v>356</v>
      </c>
      <c r="C113" s="15">
        <v>33</v>
      </c>
      <c r="D113" s="15">
        <v>10899</v>
      </c>
      <c r="E113" s="15">
        <v>1021</v>
      </c>
      <c r="F113" s="15">
        <v>1053</v>
      </c>
      <c r="G113" s="15">
        <v>1052</v>
      </c>
      <c r="H113" s="15">
        <v>75</v>
      </c>
      <c r="I113" s="15">
        <v>75</v>
      </c>
      <c r="J113" s="15">
        <v>0</v>
      </c>
      <c r="K113" s="15" t="s">
        <v>235</v>
      </c>
      <c r="L113" s="15">
        <v>0.5</v>
      </c>
      <c r="M113" s="15" t="s">
        <v>649</v>
      </c>
      <c r="N113" s="15" t="s">
        <v>235</v>
      </c>
      <c r="O113" s="15">
        <v>23</v>
      </c>
      <c r="P113" s="15">
        <v>70</v>
      </c>
      <c r="Q113" s="15" t="s">
        <v>235</v>
      </c>
      <c r="R113" s="15" t="s">
        <v>235</v>
      </c>
      <c r="S113" s="15" t="s">
        <v>235</v>
      </c>
      <c r="T113" s="15" t="s">
        <v>235</v>
      </c>
      <c r="U113" s="15">
        <v>1</v>
      </c>
      <c r="V113" s="15" t="s">
        <v>235</v>
      </c>
      <c r="W113" s="15">
        <v>1</v>
      </c>
      <c r="X113" s="15">
        <v>6</v>
      </c>
      <c r="Y113" s="15">
        <v>1016</v>
      </c>
      <c r="Z113" s="15">
        <v>1022</v>
      </c>
      <c r="AA113" s="15" t="s">
        <v>235</v>
      </c>
      <c r="AB113" s="15" t="s">
        <v>517</v>
      </c>
    </row>
    <row r="114" spans="1:28">
      <c r="A114" s="15" t="s">
        <v>678</v>
      </c>
      <c r="B114" s="166" t="str">
        <f t="shared" si="1"/>
        <v>356</v>
      </c>
      <c r="C114" s="15">
        <v>33</v>
      </c>
      <c r="D114" s="15">
        <v>1014</v>
      </c>
      <c r="E114" s="15">
        <v>1019</v>
      </c>
      <c r="F114" s="15">
        <v>1053</v>
      </c>
      <c r="G114" s="15">
        <v>1052</v>
      </c>
      <c r="H114" s="15">
        <v>212</v>
      </c>
      <c r="I114" s="15">
        <v>212</v>
      </c>
      <c r="J114" s="15">
        <v>0</v>
      </c>
      <c r="K114" s="15" t="s">
        <v>235</v>
      </c>
      <c r="L114" s="15">
        <v>0.5</v>
      </c>
      <c r="M114" s="15" t="s">
        <v>649</v>
      </c>
      <c r="N114" s="15" t="s">
        <v>235</v>
      </c>
      <c r="O114" s="15">
        <v>23</v>
      </c>
      <c r="P114" s="15">
        <v>70</v>
      </c>
      <c r="Q114" s="15" t="s">
        <v>235</v>
      </c>
      <c r="R114" s="15" t="s">
        <v>235</v>
      </c>
      <c r="S114" s="15" t="s">
        <v>235</v>
      </c>
      <c r="T114" s="15" t="s">
        <v>235</v>
      </c>
      <c r="U114" s="15">
        <v>1</v>
      </c>
      <c r="V114" s="15" t="s">
        <v>235</v>
      </c>
      <c r="W114" s="15">
        <v>1</v>
      </c>
      <c r="X114" s="15">
        <v>6</v>
      </c>
      <c r="Y114" s="15">
        <v>1043</v>
      </c>
      <c r="Z114" s="15">
        <v>1047</v>
      </c>
      <c r="AA114" s="15" t="s">
        <v>235</v>
      </c>
      <c r="AB114" s="15" t="s">
        <v>678</v>
      </c>
    </row>
    <row r="115" spans="1:28">
      <c r="A115" s="15" t="s">
        <v>518</v>
      </c>
      <c r="B115" s="166" t="str">
        <f t="shared" si="1"/>
        <v>358</v>
      </c>
      <c r="C115" s="15">
        <v>33</v>
      </c>
      <c r="D115" s="15">
        <v>10899</v>
      </c>
      <c r="E115" s="15">
        <v>1021</v>
      </c>
      <c r="F115" s="15">
        <v>1053</v>
      </c>
      <c r="G115" s="15">
        <v>1052</v>
      </c>
      <c r="H115" s="15">
        <v>76</v>
      </c>
      <c r="I115" s="15">
        <v>76</v>
      </c>
      <c r="J115" s="15">
        <v>0</v>
      </c>
      <c r="K115" s="15" t="s">
        <v>235</v>
      </c>
      <c r="L115" s="15">
        <v>0.5</v>
      </c>
      <c r="M115" s="15" t="s">
        <v>649</v>
      </c>
      <c r="N115" s="15" t="s">
        <v>235</v>
      </c>
      <c r="O115" s="15">
        <v>24</v>
      </c>
      <c r="P115" s="15">
        <v>70</v>
      </c>
      <c r="Q115" s="15" t="s">
        <v>235</v>
      </c>
      <c r="R115" s="15" t="s">
        <v>235</v>
      </c>
      <c r="S115" s="15" t="s">
        <v>235</v>
      </c>
      <c r="T115" s="15" t="s">
        <v>235</v>
      </c>
      <c r="U115" s="15">
        <v>1</v>
      </c>
      <c r="V115" s="15" t="s">
        <v>235</v>
      </c>
      <c r="W115" s="15">
        <v>1</v>
      </c>
      <c r="X115" s="15">
        <v>6</v>
      </c>
      <c r="Y115" s="15">
        <v>1016</v>
      </c>
      <c r="Z115" s="15">
        <v>1022</v>
      </c>
      <c r="AA115" s="15" t="s">
        <v>235</v>
      </c>
      <c r="AB115" s="15" t="s">
        <v>518</v>
      </c>
    </row>
    <row r="116" spans="1:28">
      <c r="A116" s="15" t="s">
        <v>519</v>
      </c>
      <c r="B116" s="166" t="str">
        <f t="shared" si="1"/>
        <v>359</v>
      </c>
      <c r="C116" s="15">
        <v>33</v>
      </c>
      <c r="D116" s="15">
        <v>10899</v>
      </c>
      <c r="E116" s="15">
        <v>1021</v>
      </c>
      <c r="F116" s="15">
        <v>1053</v>
      </c>
      <c r="G116" s="15">
        <v>1052</v>
      </c>
      <c r="H116" s="15">
        <v>77</v>
      </c>
      <c r="I116" s="15">
        <v>77</v>
      </c>
      <c r="J116" s="15">
        <v>0</v>
      </c>
      <c r="K116" s="15" t="s">
        <v>235</v>
      </c>
      <c r="L116" s="15">
        <v>0.5</v>
      </c>
      <c r="M116" s="15" t="s">
        <v>649</v>
      </c>
      <c r="N116" s="15" t="s">
        <v>235</v>
      </c>
      <c r="O116" s="15">
        <v>25</v>
      </c>
      <c r="P116" s="15">
        <v>70</v>
      </c>
      <c r="Q116" s="15" t="s">
        <v>235</v>
      </c>
      <c r="R116" s="15" t="s">
        <v>235</v>
      </c>
      <c r="S116" s="15" t="s">
        <v>235</v>
      </c>
      <c r="T116" s="15" t="s">
        <v>235</v>
      </c>
      <c r="U116" s="15">
        <v>1</v>
      </c>
      <c r="V116" s="15" t="s">
        <v>235</v>
      </c>
      <c r="W116" s="15">
        <v>1</v>
      </c>
      <c r="X116" s="15">
        <v>6</v>
      </c>
      <c r="Y116" s="15">
        <v>1016</v>
      </c>
      <c r="Z116" s="15">
        <v>1022</v>
      </c>
      <c r="AA116" s="15" t="s">
        <v>235</v>
      </c>
      <c r="AB116" s="15" t="s">
        <v>519</v>
      </c>
    </row>
    <row r="117" spans="1:28">
      <c r="A117" s="15" t="s">
        <v>520</v>
      </c>
      <c r="B117" s="166" t="str">
        <f t="shared" si="1"/>
        <v>359</v>
      </c>
      <c r="C117" s="15">
        <v>33</v>
      </c>
      <c r="D117" s="15">
        <v>10899</v>
      </c>
      <c r="E117" s="15">
        <v>1021</v>
      </c>
      <c r="F117" s="15">
        <v>1053</v>
      </c>
      <c r="G117" s="15">
        <v>1052</v>
      </c>
      <c r="H117" s="15">
        <v>78</v>
      </c>
      <c r="I117" s="15">
        <v>78</v>
      </c>
      <c r="J117" s="15">
        <v>0</v>
      </c>
      <c r="K117" s="15" t="s">
        <v>235</v>
      </c>
      <c r="L117" s="15">
        <v>0.5</v>
      </c>
      <c r="M117" s="15" t="s">
        <v>649</v>
      </c>
      <c r="N117" s="15" t="s">
        <v>235</v>
      </c>
      <c r="O117" s="15">
        <v>25</v>
      </c>
      <c r="P117" s="15">
        <v>70</v>
      </c>
      <c r="Q117" s="15" t="s">
        <v>235</v>
      </c>
      <c r="R117" s="15" t="s">
        <v>235</v>
      </c>
      <c r="S117" s="15" t="s">
        <v>235</v>
      </c>
      <c r="T117" s="15" t="s">
        <v>235</v>
      </c>
      <c r="U117" s="15">
        <v>1</v>
      </c>
      <c r="V117" s="15" t="s">
        <v>235</v>
      </c>
      <c r="W117" s="15">
        <v>1</v>
      </c>
      <c r="X117" s="15">
        <v>6</v>
      </c>
      <c r="Y117" s="15">
        <v>1016</v>
      </c>
      <c r="Z117" s="15">
        <v>1022</v>
      </c>
      <c r="AA117" s="15" t="s">
        <v>235</v>
      </c>
      <c r="AB117" s="15" t="s">
        <v>520</v>
      </c>
    </row>
    <row r="118" spans="1:28">
      <c r="A118" s="15" t="s">
        <v>677</v>
      </c>
      <c r="B118" s="166" t="str">
        <f t="shared" si="1"/>
        <v>359</v>
      </c>
      <c r="C118" s="15">
        <v>33</v>
      </c>
      <c r="D118" s="15">
        <v>1014</v>
      </c>
      <c r="E118" s="15">
        <v>1019</v>
      </c>
      <c r="F118" s="15">
        <v>1053</v>
      </c>
      <c r="G118" s="15">
        <v>1052</v>
      </c>
      <c r="H118" s="15">
        <v>213</v>
      </c>
      <c r="I118" s="15">
        <v>213</v>
      </c>
      <c r="J118" s="15">
        <v>0</v>
      </c>
      <c r="K118" s="15" t="s">
        <v>235</v>
      </c>
      <c r="L118" s="15">
        <v>0.5</v>
      </c>
      <c r="M118" s="15" t="s">
        <v>649</v>
      </c>
      <c r="N118" s="15" t="s">
        <v>235</v>
      </c>
      <c r="O118" s="15">
        <v>25</v>
      </c>
      <c r="P118" s="15">
        <v>70</v>
      </c>
      <c r="Q118" s="15" t="s">
        <v>235</v>
      </c>
      <c r="R118" s="15" t="s">
        <v>235</v>
      </c>
      <c r="S118" s="15" t="s">
        <v>235</v>
      </c>
      <c r="T118" s="15" t="s">
        <v>235</v>
      </c>
      <c r="U118" s="15">
        <v>1</v>
      </c>
      <c r="V118" s="15" t="s">
        <v>235</v>
      </c>
      <c r="W118" s="15">
        <v>1</v>
      </c>
      <c r="X118" s="15">
        <v>6</v>
      </c>
      <c r="Y118" s="15">
        <v>1043</v>
      </c>
      <c r="Z118" s="15">
        <v>1047</v>
      </c>
      <c r="AA118" s="15" t="s">
        <v>235</v>
      </c>
      <c r="AB118" s="15" t="s">
        <v>677</v>
      </c>
    </row>
    <row r="119" spans="1:28">
      <c r="A119" s="15" t="s">
        <v>521</v>
      </c>
      <c r="B119" s="166" t="str">
        <f t="shared" si="1"/>
        <v>360</v>
      </c>
      <c r="C119" s="15">
        <v>33</v>
      </c>
      <c r="D119" s="15">
        <v>10899</v>
      </c>
      <c r="E119" s="15">
        <v>1021</v>
      </c>
      <c r="F119" s="15">
        <v>1053</v>
      </c>
      <c r="G119" s="15">
        <v>1052</v>
      </c>
      <c r="H119" s="15">
        <v>79</v>
      </c>
      <c r="I119" s="15">
        <v>79</v>
      </c>
      <c r="J119" s="15">
        <v>0</v>
      </c>
      <c r="K119" s="15" t="s">
        <v>235</v>
      </c>
      <c r="L119" s="15">
        <v>0.5</v>
      </c>
      <c r="M119" s="15" t="s">
        <v>649</v>
      </c>
      <c r="N119" s="15" t="s">
        <v>235</v>
      </c>
      <c r="O119" s="15">
        <v>26</v>
      </c>
      <c r="P119" s="15">
        <v>31</v>
      </c>
      <c r="Q119" s="15" t="s">
        <v>235</v>
      </c>
      <c r="R119" s="15" t="s">
        <v>235</v>
      </c>
      <c r="S119" s="15" t="s">
        <v>235</v>
      </c>
      <c r="T119" s="15" t="s">
        <v>235</v>
      </c>
      <c r="U119" s="15">
        <v>1</v>
      </c>
      <c r="V119" s="15" t="s">
        <v>235</v>
      </c>
      <c r="W119" s="15">
        <v>1</v>
      </c>
      <c r="X119" s="15">
        <v>7</v>
      </c>
      <c r="Y119" s="15">
        <v>1016</v>
      </c>
      <c r="Z119" s="15">
        <v>1022</v>
      </c>
      <c r="AA119" s="15" t="s">
        <v>235</v>
      </c>
      <c r="AB119" s="15" t="s">
        <v>521</v>
      </c>
    </row>
    <row r="120" spans="1:28">
      <c r="A120" s="15" t="s">
        <v>522</v>
      </c>
      <c r="B120" s="166" t="str">
        <f t="shared" si="1"/>
        <v>360</v>
      </c>
      <c r="C120" s="15">
        <v>33</v>
      </c>
      <c r="D120" s="15">
        <v>10899</v>
      </c>
      <c r="E120" s="15">
        <v>1021</v>
      </c>
      <c r="F120" s="15">
        <v>1053</v>
      </c>
      <c r="G120" s="15">
        <v>1052</v>
      </c>
      <c r="H120" s="15">
        <v>80</v>
      </c>
      <c r="I120" s="15">
        <v>80</v>
      </c>
      <c r="J120" s="15">
        <v>0</v>
      </c>
      <c r="K120" s="15" t="s">
        <v>235</v>
      </c>
      <c r="L120" s="15">
        <v>0.5</v>
      </c>
      <c r="M120" s="15" t="s">
        <v>649</v>
      </c>
      <c r="N120" s="15" t="s">
        <v>235</v>
      </c>
      <c r="O120" s="15">
        <v>26</v>
      </c>
      <c r="P120" s="15">
        <v>33</v>
      </c>
      <c r="Q120" s="15" t="s">
        <v>235</v>
      </c>
      <c r="R120" s="15" t="s">
        <v>235</v>
      </c>
      <c r="S120" s="15" t="s">
        <v>235</v>
      </c>
      <c r="T120" s="15" t="s">
        <v>235</v>
      </c>
      <c r="U120" s="15">
        <v>1</v>
      </c>
      <c r="V120" s="15" t="s">
        <v>235</v>
      </c>
      <c r="W120" s="15">
        <v>1</v>
      </c>
      <c r="X120" s="15">
        <v>7</v>
      </c>
      <c r="Y120" s="15">
        <v>1016</v>
      </c>
      <c r="Z120" s="15">
        <v>1022</v>
      </c>
      <c r="AA120" s="15" t="s">
        <v>235</v>
      </c>
      <c r="AB120" s="15" t="s">
        <v>522</v>
      </c>
    </row>
    <row r="121" spans="1:28">
      <c r="A121" s="15" t="s">
        <v>523</v>
      </c>
      <c r="B121" s="166" t="str">
        <f t="shared" si="1"/>
        <v>360</v>
      </c>
      <c r="C121" s="15">
        <v>33</v>
      </c>
      <c r="D121" s="15">
        <v>10899</v>
      </c>
      <c r="E121" s="15">
        <v>1021</v>
      </c>
      <c r="F121" s="15">
        <v>1053</v>
      </c>
      <c r="G121" s="15">
        <v>1052</v>
      </c>
      <c r="H121" s="15">
        <v>81</v>
      </c>
      <c r="I121" s="15">
        <v>81</v>
      </c>
      <c r="J121" s="15">
        <v>0</v>
      </c>
      <c r="K121" s="15" t="s">
        <v>235</v>
      </c>
      <c r="L121" s="15">
        <v>0.5</v>
      </c>
      <c r="M121" s="15" t="s">
        <v>649</v>
      </c>
      <c r="N121" s="15" t="s">
        <v>235</v>
      </c>
      <c r="O121" s="15">
        <v>26</v>
      </c>
      <c r="P121" s="15">
        <v>35</v>
      </c>
      <c r="Q121" s="15" t="s">
        <v>235</v>
      </c>
      <c r="R121" s="15" t="s">
        <v>235</v>
      </c>
      <c r="S121" s="15" t="s">
        <v>235</v>
      </c>
      <c r="T121" s="15" t="s">
        <v>235</v>
      </c>
      <c r="U121" s="15">
        <v>1</v>
      </c>
      <c r="V121" s="15" t="s">
        <v>235</v>
      </c>
      <c r="W121" s="15">
        <v>1</v>
      </c>
      <c r="X121" s="15">
        <v>7</v>
      </c>
      <c r="Y121" s="15">
        <v>1016</v>
      </c>
      <c r="Z121" s="15">
        <v>1022</v>
      </c>
      <c r="AA121" s="15" t="s">
        <v>235</v>
      </c>
      <c r="AB121" s="15" t="s">
        <v>523</v>
      </c>
    </row>
    <row r="122" spans="1:28">
      <c r="A122" s="15" t="s">
        <v>524</v>
      </c>
      <c r="B122" s="166" t="str">
        <f t="shared" si="1"/>
        <v>360</v>
      </c>
      <c r="C122" s="15">
        <v>33</v>
      </c>
      <c r="D122" s="15">
        <v>10899</v>
      </c>
      <c r="E122" s="15">
        <v>1021</v>
      </c>
      <c r="F122" s="15">
        <v>1053</v>
      </c>
      <c r="G122" s="15">
        <v>1052</v>
      </c>
      <c r="H122" s="15">
        <v>82</v>
      </c>
      <c r="I122" s="15">
        <v>82</v>
      </c>
      <c r="J122" s="15">
        <v>0</v>
      </c>
      <c r="K122" s="15" t="s">
        <v>235</v>
      </c>
      <c r="L122" s="15">
        <v>0.5</v>
      </c>
      <c r="M122" s="15" t="s">
        <v>649</v>
      </c>
      <c r="N122" s="15" t="s">
        <v>235</v>
      </c>
      <c r="O122" s="15">
        <v>26</v>
      </c>
      <c r="P122" s="15">
        <v>56</v>
      </c>
      <c r="Q122" s="15" t="s">
        <v>235</v>
      </c>
      <c r="R122" s="15" t="s">
        <v>235</v>
      </c>
      <c r="S122" s="15" t="s">
        <v>235</v>
      </c>
      <c r="T122" s="15" t="s">
        <v>235</v>
      </c>
      <c r="U122" s="15">
        <v>1</v>
      </c>
      <c r="V122" s="15" t="s">
        <v>235</v>
      </c>
      <c r="W122" s="15">
        <v>1</v>
      </c>
      <c r="X122" s="15">
        <v>7</v>
      </c>
      <c r="Y122" s="15">
        <v>1016</v>
      </c>
      <c r="Z122" s="15">
        <v>1022</v>
      </c>
      <c r="AA122" s="15" t="s">
        <v>235</v>
      </c>
      <c r="AB122" s="15" t="s">
        <v>524</v>
      </c>
    </row>
    <row r="123" spans="1:28">
      <c r="A123" s="15" t="s">
        <v>525</v>
      </c>
      <c r="B123" s="166" t="str">
        <f t="shared" si="1"/>
        <v>360</v>
      </c>
      <c r="C123" s="15">
        <v>33</v>
      </c>
      <c r="D123" s="15">
        <v>10899</v>
      </c>
      <c r="E123" s="15">
        <v>1021</v>
      </c>
      <c r="F123" s="15">
        <v>1053</v>
      </c>
      <c r="G123" s="15">
        <v>1052</v>
      </c>
      <c r="H123" s="15">
        <v>83</v>
      </c>
      <c r="I123" s="15">
        <v>83</v>
      </c>
      <c r="J123" s="15">
        <v>0</v>
      </c>
      <c r="K123" s="15" t="s">
        <v>235</v>
      </c>
      <c r="L123" s="15">
        <v>0.5</v>
      </c>
      <c r="M123" s="15" t="s">
        <v>649</v>
      </c>
      <c r="N123" s="15" t="s">
        <v>235</v>
      </c>
      <c r="O123" s="15">
        <v>26</v>
      </c>
      <c r="P123" s="15">
        <v>55</v>
      </c>
      <c r="Q123" s="15" t="s">
        <v>235</v>
      </c>
      <c r="R123" s="15" t="s">
        <v>235</v>
      </c>
      <c r="S123" s="15" t="s">
        <v>235</v>
      </c>
      <c r="T123" s="15" t="s">
        <v>235</v>
      </c>
      <c r="U123" s="15">
        <v>1</v>
      </c>
      <c r="V123" s="15" t="s">
        <v>235</v>
      </c>
      <c r="W123" s="15">
        <v>1</v>
      </c>
      <c r="X123" s="15">
        <v>7</v>
      </c>
      <c r="Y123" s="15">
        <v>1016</v>
      </c>
      <c r="Z123" s="15">
        <v>1022</v>
      </c>
      <c r="AA123" s="15" t="s">
        <v>235</v>
      </c>
      <c r="AB123" s="15" t="s">
        <v>525</v>
      </c>
    </row>
    <row r="124" spans="1:28">
      <c r="A124" s="15" t="s">
        <v>526</v>
      </c>
      <c r="B124" s="166" t="str">
        <f t="shared" si="1"/>
        <v>360</v>
      </c>
      <c r="C124" s="15">
        <v>33</v>
      </c>
      <c r="D124" s="15">
        <v>10899</v>
      </c>
      <c r="E124" s="15">
        <v>1021</v>
      </c>
      <c r="F124" s="15">
        <v>1053</v>
      </c>
      <c r="G124" s="15">
        <v>1052</v>
      </c>
      <c r="H124" s="15">
        <v>84</v>
      </c>
      <c r="I124" s="15">
        <v>84</v>
      </c>
      <c r="J124" s="15">
        <v>0</v>
      </c>
      <c r="K124" s="15" t="s">
        <v>235</v>
      </c>
      <c r="L124" s="15">
        <v>0.5</v>
      </c>
      <c r="M124" s="15" t="s">
        <v>649</v>
      </c>
      <c r="N124" s="15" t="s">
        <v>235</v>
      </c>
      <c r="O124" s="15">
        <v>26</v>
      </c>
      <c r="P124" s="15">
        <v>70</v>
      </c>
      <c r="Q124" s="15" t="s">
        <v>235</v>
      </c>
      <c r="R124" s="15" t="s">
        <v>235</v>
      </c>
      <c r="S124" s="15" t="s">
        <v>235</v>
      </c>
      <c r="T124" s="15" t="s">
        <v>235</v>
      </c>
      <c r="U124" s="15">
        <v>1</v>
      </c>
      <c r="V124" s="15" t="s">
        <v>235</v>
      </c>
      <c r="W124" s="15">
        <v>1</v>
      </c>
      <c r="X124" s="15">
        <v>7</v>
      </c>
      <c r="Y124" s="15">
        <v>1016</v>
      </c>
      <c r="Z124" s="15">
        <v>1022</v>
      </c>
      <c r="AA124" s="15" t="s">
        <v>235</v>
      </c>
      <c r="AB124" s="15" t="s">
        <v>526</v>
      </c>
    </row>
    <row r="125" spans="1:28">
      <c r="A125" s="15" t="s">
        <v>676</v>
      </c>
      <c r="B125" s="166" t="str">
        <f t="shared" si="1"/>
        <v>360</v>
      </c>
      <c r="C125" s="15">
        <v>33</v>
      </c>
      <c r="D125" s="15">
        <v>1015</v>
      </c>
      <c r="E125" s="15">
        <v>1023</v>
      </c>
      <c r="F125" s="15">
        <v>1025</v>
      </c>
      <c r="G125" s="15">
        <v>1027</v>
      </c>
      <c r="H125" s="15">
        <v>185</v>
      </c>
      <c r="I125" s="15">
        <v>185</v>
      </c>
      <c r="J125" s="15">
        <v>0</v>
      </c>
      <c r="K125" s="15" t="s">
        <v>235</v>
      </c>
      <c r="L125" s="15">
        <v>0.5</v>
      </c>
      <c r="M125" s="15" t="s">
        <v>649</v>
      </c>
      <c r="N125" s="15" t="s">
        <v>235</v>
      </c>
      <c r="O125" s="15">
        <v>26</v>
      </c>
      <c r="P125" s="15">
        <v>33</v>
      </c>
      <c r="Q125" s="15" t="s">
        <v>235</v>
      </c>
      <c r="R125" s="15" t="s">
        <v>235</v>
      </c>
      <c r="S125" s="15" t="s">
        <v>235</v>
      </c>
      <c r="T125" s="15" t="s">
        <v>235</v>
      </c>
      <c r="U125" s="15">
        <v>1</v>
      </c>
      <c r="V125" s="15" t="s">
        <v>235</v>
      </c>
      <c r="W125" s="15">
        <v>1</v>
      </c>
      <c r="X125" s="15">
        <v>12</v>
      </c>
      <c r="Y125" s="15">
        <v>1044</v>
      </c>
      <c r="Z125" s="15">
        <v>1049</v>
      </c>
      <c r="AA125" s="15" t="s">
        <v>235</v>
      </c>
      <c r="AB125" s="15" t="s">
        <v>676</v>
      </c>
    </row>
    <row r="126" spans="1:28">
      <c r="A126" s="15" t="s">
        <v>675</v>
      </c>
      <c r="B126" s="166" t="str">
        <f t="shared" si="1"/>
        <v>360</v>
      </c>
      <c r="C126" s="15">
        <v>33</v>
      </c>
      <c r="D126" s="15">
        <v>1014</v>
      </c>
      <c r="E126" s="15">
        <v>1019</v>
      </c>
      <c r="F126" s="15">
        <v>1053</v>
      </c>
      <c r="G126" s="15">
        <v>1052</v>
      </c>
      <c r="H126" s="15">
        <v>214</v>
      </c>
      <c r="I126" s="15">
        <v>214</v>
      </c>
      <c r="J126" s="15">
        <v>0</v>
      </c>
      <c r="K126" s="15" t="s">
        <v>235</v>
      </c>
      <c r="L126" s="15">
        <v>0.5</v>
      </c>
      <c r="M126" s="15" t="s">
        <v>649</v>
      </c>
      <c r="N126" s="15" t="s">
        <v>235</v>
      </c>
      <c r="O126" s="15">
        <v>26</v>
      </c>
      <c r="P126" s="15">
        <v>31</v>
      </c>
      <c r="Q126" s="15" t="s">
        <v>235</v>
      </c>
      <c r="R126" s="15" t="s">
        <v>235</v>
      </c>
      <c r="S126" s="15" t="s">
        <v>235</v>
      </c>
      <c r="T126" s="15" t="s">
        <v>235</v>
      </c>
      <c r="U126" s="15">
        <v>1</v>
      </c>
      <c r="V126" s="15" t="s">
        <v>235</v>
      </c>
      <c r="W126" s="15">
        <v>1</v>
      </c>
      <c r="X126" s="15">
        <v>7</v>
      </c>
      <c r="Y126" s="15">
        <v>1043</v>
      </c>
      <c r="Z126" s="15">
        <v>1047</v>
      </c>
      <c r="AA126" s="15" t="s">
        <v>235</v>
      </c>
      <c r="AB126" s="15" t="s">
        <v>675</v>
      </c>
    </row>
    <row r="127" spans="1:28">
      <c r="A127" s="15" t="s">
        <v>674</v>
      </c>
      <c r="B127" s="166" t="str">
        <f t="shared" si="1"/>
        <v>360</v>
      </c>
      <c r="C127" s="15">
        <v>33</v>
      </c>
      <c r="D127" s="15">
        <v>1014</v>
      </c>
      <c r="E127" s="15">
        <v>1019</v>
      </c>
      <c r="F127" s="15">
        <v>1053</v>
      </c>
      <c r="G127" s="15">
        <v>1052</v>
      </c>
      <c r="H127" s="15">
        <v>215</v>
      </c>
      <c r="I127" s="15">
        <v>215</v>
      </c>
      <c r="J127" s="15">
        <v>0</v>
      </c>
      <c r="K127" s="15" t="s">
        <v>235</v>
      </c>
      <c r="L127" s="15">
        <v>0.5</v>
      </c>
      <c r="M127" s="15" t="s">
        <v>649</v>
      </c>
      <c r="N127" s="15" t="s">
        <v>235</v>
      </c>
      <c r="O127" s="15">
        <v>26</v>
      </c>
      <c r="P127" s="15">
        <v>33</v>
      </c>
      <c r="Q127" s="15" t="s">
        <v>235</v>
      </c>
      <c r="R127" s="15" t="s">
        <v>235</v>
      </c>
      <c r="S127" s="15" t="s">
        <v>235</v>
      </c>
      <c r="T127" s="15" t="s">
        <v>235</v>
      </c>
      <c r="U127" s="15">
        <v>1</v>
      </c>
      <c r="V127" s="15" t="s">
        <v>235</v>
      </c>
      <c r="W127" s="15">
        <v>1</v>
      </c>
      <c r="X127" s="15">
        <v>7</v>
      </c>
      <c r="Y127" s="15">
        <v>1043</v>
      </c>
      <c r="Z127" s="15">
        <v>1047</v>
      </c>
      <c r="AA127" s="15" t="s">
        <v>235</v>
      </c>
      <c r="AB127" s="15" t="s">
        <v>674</v>
      </c>
    </row>
    <row r="128" spans="1:28">
      <c r="A128" s="15" t="s">
        <v>673</v>
      </c>
      <c r="B128" s="166" t="str">
        <f t="shared" si="1"/>
        <v>360</v>
      </c>
      <c r="C128" s="15">
        <v>33</v>
      </c>
      <c r="D128" s="15">
        <v>1014</v>
      </c>
      <c r="E128" s="15">
        <v>1019</v>
      </c>
      <c r="F128" s="15">
        <v>1053</v>
      </c>
      <c r="G128" s="15">
        <v>1052</v>
      </c>
      <c r="H128" s="15">
        <v>216</v>
      </c>
      <c r="I128" s="15">
        <v>216</v>
      </c>
      <c r="J128" s="15">
        <v>0</v>
      </c>
      <c r="K128" s="15" t="s">
        <v>235</v>
      </c>
      <c r="L128" s="15">
        <v>0.5</v>
      </c>
      <c r="M128" s="15" t="s">
        <v>649</v>
      </c>
      <c r="N128" s="15" t="s">
        <v>235</v>
      </c>
      <c r="O128" s="15">
        <v>26</v>
      </c>
      <c r="P128" s="15">
        <v>35</v>
      </c>
      <c r="Q128" s="15" t="s">
        <v>235</v>
      </c>
      <c r="R128" s="15" t="s">
        <v>235</v>
      </c>
      <c r="S128" s="15" t="s">
        <v>235</v>
      </c>
      <c r="T128" s="15" t="s">
        <v>235</v>
      </c>
      <c r="U128" s="15">
        <v>1</v>
      </c>
      <c r="V128" s="15" t="s">
        <v>235</v>
      </c>
      <c r="W128" s="15">
        <v>1</v>
      </c>
      <c r="X128" s="15">
        <v>7</v>
      </c>
      <c r="Y128" s="15">
        <v>1043</v>
      </c>
      <c r="Z128" s="15">
        <v>1047</v>
      </c>
      <c r="AA128" s="15" t="s">
        <v>235</v>
      </c>
      <c r="AB128" s="15" t="s">
        <v>673</v>
      </c>
    </row>
    <row r="129" spans="1:28">
      <c r="A129" s="15" t="s">
        <v>672</v>
      </c>
      <c r="B129" s="166" t="str">
        <f t="shared" si="1"/>
        <v>360</v>
      </c>
      <c r="C129" s="15">
        <v>33</v>
      </c>
      <c r="D129" s="15">
        <v>1014</v>
      </c>
      <c r="E129" s="15">
        <v>1019</v>
      </c>
      <c r="F129" s="15">
        <v>1053</v>
      </c>
      <c r="G129" s="15">
        <v>1052</v>
      </c>
      <c r="H129" s="15">
        <v>217</v>
      </c>
      <c r="I129" s="15">
        <v>217</v>
      </c>
      <c r="J129" s="15">
        <v>0</v>
      </c>
      <c r="K129" s="15" t="s">
        <v>235</v>
      </c>
      <c r="L129" s="15">
        <v>0.5</v>
      </c>
      <c r="M129" s="15" t="s">
        <v>649</v>
      </c>
      <c r="N129" s="15" t="s">
        <v>235</v>
      </c>
      <c r="O129" s="15">
        <v>26</v>
      </c>
      <c r="P129" s="15">
        <v>55</v>
      </c>
      <c r="Q129" s="15" t="s">
        <v>235</v>
      </c>
      <c r="R129" s="15" t="s">
        <v>235</v>
      </c>
      <c r="S129" s="15" t="s">
        <v>235</v>
      </c>
      <c r="T129" s="15" t="s">
        <v>235</v>
      </c>
      <c r="U129" s="15">
        <v>1</v>
      </c>
      <c r="V129" s="15" t="s">
        <v>235</v>
      </c>
      <c r="W129" s="15">
        <v>1</v>
      </c>
      <c r="X129" s="15">
        <v>7</v>
      </c>
      <c r="Y129" s="15">
        <v>1043</v>
      </c>
      <c r="Z129" s="15">
        <v>1047</v>
      </c>
      <c r="AA129" s="15" t="s">
        <v>235</v>
      </c>
      <c r="AB129" s="15" t="s">
        <v>672</v>
      </c>
    </row>
    <row r="130" spans="1:28">
      <c r="A130" s="15" t="s">
        <v>671</v>
      </c>
      <c r="B130" s="166" t="str">
        <f t="shared" ref="B130:B193" si="2">MID($A130,3,3)</f>
        <v>360</v>
      </c>
      <c r="C130" s="15">
        <v>33</v>
      </c>
      <c r="D130" s="15">
        <v>1014</v>
      </c>
      <c r="E130" s="15">
        <v>1019</v>
      </c>
      <c r="F130" s="15">
        <v>1053</v>
      </c>
      <c r="G130" s="15">
        <v>1052</v>
      </c>
      <c r="H130" s="15">
        <v>218</v>
      </c>
      <c r="I130" s="15">
        <v>218</v>
      </c>
      <c r="J130" s="15">
        <v>0</v>
      </c>
      <c r="K130" s="15" t="s">
        <v>235</v>
      </c>
      <c r="L130" s="15">
        <v>0.5</v>
      </c>
      <c r="M130" s="15" t="s">
        <v>649</v>
      </c>
      <c r="N130" s="15" t="s">
        <v>235</v>
      </c>
      <c r="O130" s="15">
        <v>26</v>
      </c>
      <c r="P130" s="15">
        <v>70</v>
      </c>
      <c r="Q130" s="15" t="s">
        <v>235</v>
      </c>
      <c r="R130" s="15" t="s">
        <v>235</v>
      </c>
      <c r="S130" s="15" t="s">
        <v>235</v>
      </c>
      <c r="T130" s="15" t="s">
        <v>235</v>
      </c>
      <c r="U130" s="15">
        <v>1</v>
      </c>
      <c r="V130" s="15" t="s">
        <v>235</v>
      </c>
      <c r="W130" s="15">
        <v>1</v>
      </c>
      <c r="X130" s="15">
        <v>7</v>
      </c>
      <c r="Y130" s="15">
        <v>1043</v>
      </c>
      <c r="Z130" s="15">
        <v>1047</v>
      </c>
      <c r="AA130" s="15" t="s">
        <v>235</v>
      </c>
      <c r="AB130" s="15" t="s">
        <v>671</v>
      </c>
    </row>
    <row r="131" spans="1:28">
      <c r="A131" s="15" t="s">
        <v>670</v>
      </c>
      <c r="B131" s="166" t="str">
        <f t="shared" si="2"/>
        <v>360</v>
      </c>
      <c r="C131" s="15">
        <v>33</v>
      </c>
      <c r="D131" s="15">
        <v>10899</v>
      </c>
      <c r="E131" s="15">
        <v>1021</v>
      </c>
      <c r="F131" s="15">
        <v>1053</v>
      </c>
      <c r="G131" s="15">
        <v>1052</v>
      </c>
      <c r="H131" s="15">
        <v>241</v>
      </c>
      <c r="I131" s="15">
        <v>241</v>
      </c>
      <c r="J131" s="15">
        <v>0</v>
      </c>
      <c r="K131" s="15" t="s">
        <v>235</v>
      </c>
      <c r="L131" s="15">
        <v>0.5</v>
      </c>
      <c r="M131" s="15" t="s">
        <v>649</v>
      </c>
      <c r="N131" s="15" t="s">
        <v>235</v>
      </c>
      <c r="O131" s="15">
        <v>26</v>
      </c>
      <c r="P131" s="15">
        <v>33</v>
      </c>
      <c r="Q131" s="15" t="s">
        <v>235</v>
      </c>
      <c r="R131" s="15" t="s">
        <v>235</v>
      </c>
      <c r="S131" s="15" t="s">
        <v>235</v>
      </c>
      <c r="T131" s="15" t="s">
        <v>235</v>
      </c>
      <c r="U131" s="15">
        <v>1</v>
      </c>
      <c r="V131" s="15" t="s">
        <v>235</v>
      </c>
      <c r="W131" s="15">
        <v>1</v>
      </c>
      <c r="X131" s="15">
        <v>7</v>
      </c>
      <c r="Y131" s="15">
        <v>1016</v>
      </c>
      <c r="Z131" s="15">
        <v>1022</v>
      </c>
      <c r="AA131" s="15" t="s">
        <v>235</v>
      </c>
      <c r="AB131" s="15" t="s">
        <v>670</v>
      </c>
    </row>
    <row r="132" spans="1:28">
      <c r="A132" s="15" t="s">
        <v>527</v>
      </c>
      <c r="B132" s="166" t="str">
        <f t="shared" si="2"/>
        <v>361</v>
      </c>
      <c r="C132" s="15">
        <v>33</v>
      </c>
      <c r="D132" s="15">
        <v>10899</v>
      </c>
      <c r="E132" s="15">
        <v>1021</v>
      </c>
      <c r="F132" s="15">
        <v>1053</v>
      </c>
      <c r="G132" s="15">
        <v>1052</v>
      </c>
      <c r="H132" s="15">
        <v>85</v>
      </c>
      <c r="I132" s="15">
        <v>85</v>
      </c>
      <c r="J132" s="15">
        <v>0</v>
      </c>
      <c r="K132" s="15" t="s">
        <v>235</v>
      </c>
      <c r="L132" s="15">
        <v>0.5</v>
      </c>
      <c r="M132" s="15" t="s">
        <v>649</v>
      </c>
      <c r="N132" s="15" t="s">
        <v>235</v>
      </c>
      <c r="O132" s="15">
        <v>27</v>
      </c>
      <c r="P132" s="15">
        <v>70</v>
      </c>
      <c r="Q132" s="15" t="s">
        <v>235</v>
      </c>
      <c r="R132" s="15" t="s">
        <v>235</v>
      </c>
      <c r="S132" s="15" t="s">
        <v>235</v>
      </c>
      <c r="T132" s="15" t="s">
        <v>235</v>
      </c>
      <c r="U132" s="15">
        <v>1</v>
      </c>
      <c r="V132" s="15" t="s">
        <v>235</v>
      </c>
      <c r="W132" s="15">
        <v>1</v>
      </c>
      <c r="X132" s="15">
        <v>7</v>
      </c>
      <c r="Y132" s="15">
        <v>1016</v>
      </c>
      <c r="Z132" s="15">
        <v>1022</v>
      </c>
      <c r="AA132" s="15" t="s">
        <v>235</v>
      </c>
      <c r="AB132" s="15" t="s">
        <v>527</v>
      </c>
    </row>
    <row r="133" spans="1:28">
      <c r="A133" s="15" t="s">
        <v>669</v>
      </c>
      <c r="B133" s="166" t="str">
        <f t="shared" si="2"/>
        <v>361</v>
      </c>
      <c r="C133" s="15">
        <v>33</v>
      </c>
      <c r="D133" s="15">
        <v>1014</v>
      </c>
      <c r="E133" s="15">
        <v>1019</v>
      </c>
      <c r="F133" s="15">
        <v>1053</v>
      </c>
      <c r="G133" s="15">
        <v>1052</v>
      </c>
      <c r="H133" s="15">
        <v>219</v>
      </c>
      <c r="I133" s="15">
        <v>219</v>
      </c>
      <c r="J133" s="15">
        <v>0</v>
      </c>
      <c r="K133" s="15" t="s">
        <v>235</v>
      </c>
      <c r="L133" s="15">
        <v>0.5</v>
      </c>
      <c r="M133" s="15" t="s">
        <v>649</v>
      </c>
      <c r="N133" s="15" t="s">
        <v>235</v>
      </c>
      <c r="O133" s="15">
        <v>27</v>
      </c>
      <c r="P133" s="15">
        <v>70</v>
      </c>
      <c r="Q133" s="15" t="s">
        <v>235</v>
      </c>
      <c r="R133" s="15" t="s">
        <v>235</v>
      </c>
      <c r="S133" s="15" t="s">
        <v>235</v>
      </c>
      <c r="T133" s="15" t="s">
        <v>235</v>
      </c>
      <c r="U133" s="15">
        <v>1</v>
      </c>
      <c r="V133" s="15" t="s">
        <v>235</v>
      </c>
      <c r="W133" s="15">
        <v>1</v>
      </c>
      <c r="X133" s="15">
        <v>7</v>
      </c>
      <c r="Y133" s="15">
        <v>1043</v>
      </c>
      <c r="Z133" s="15">
        <v>1047</v>
      </c>
      <c r="AA133" s="15" t="s">
        <v>235</v>
      </c>
      <c r="AB133" s="15" t="s">
        <v>669</v>
      </c>
    </row>
    <row r="134" spans="1:28">
      <c r="A134" s="15" t="s">
        <v>528</v>
      </c>
      <c r="B134" s="166" t="str">
        <f t="shared" si="2"/>
        <v>362</v>
      </c>
      <c r="C134" s="15">
        <v>33</v>
      </c>
      <c r="D134" s="15">
        <v>10899</v>
      </c>
      <c r="E134" s="15">
        <v>1021</v>
      </c>
      <c r="F134" s="15">
        <v>1053</v>
      </c>
      <c r="G134" s="15">
        <v>1052</v>
      </c>
      <c r="H134" s="15">
        <v>86</v>
      </c>
      <c r="I134" s="15">
        <v>86</v>
      </c>
      <c r="J134" s="15">
        <v>0</v>
      </c>
      <c r="K134" s="15" t="s">
        <v>235</v>
      </c>
      <c r="L134" s="15">
        <v>0.5</v>
      </c>
      <c r="M134" s="15" t="s">
        <v>649</v>
      </c>
      <c r="N134" s="15" t="s">
        <v>235</v>
      </c>
      <c r="O134" s="15">
        <v>28</v>
      </c>
      <c r="P134" s="15">
        <v>70</v>
      </c>
      <c r="Q134" s="15" t="s">
        <v>235</v>
      </c>
      <c r="R134" s="15" t="s">
        <v>235</v>
      </c>
      <c r="S134" s="15" t="s">
        <v>235</v>
      </c>
      <c r="T134" s="15" t="s">
        <v>235</v>
      </c>
      <c r="U134" s="15">
        <v>1</v>
      </c>
      <c r="V134" s="15" t="s">
        <v>235</v>
      </c>
      <c r="W134" s="15">
        <v>1</v>
      </c>
      <c r="X134" s="15">
        <v>7</v>
      </c>
      <c r="Y134" s="15">
        <v>1016</v>
      </c>
      <c r="Z134" s="15">
        <v>1022</v>
      </c>
      <c r="AA134" s="15" t="s">
        <v>235</v>
      </c>
      <c r="AB134" s="15" t="s">
        <v>528</v>
      </c>
    </row>
    <row r="135" spans="1:28">
      <c r="A135" s="15" t="s">
        <v>529</v>
      </c>
      <c r="B135" s="166" t="str">
        <f t="shared" si="2"/>
        <v>362</v>
      </c>
      <c r="C135" s="15">
        <v>33</v>
      </c>
      <c r="D135" s="15">
        <v>10899</v>
      </c>
      <c r="E135" s="15">
        <v>1021</v>
      </c>
      <c r="F135" s="15">
        <v>1053</v>
      </c>
      <c r="G135" s="15">
        <v>1052</v>
      </c>
      <c r="H135" s="15">
        <v>87</v>
      </c>
      <c r="I135" s="15">
        <v>87</v>
      </c>
      <c r="J135" s="15">
        <v>0</v>
      </c>
      <c r="K135" s="15" t="s">
        <v>235</v>
      </c>
      <c r="L135" s="15">
        <v>0.5</v>
      </c>
      <c r="M135" s="15" t="s">
        <v>649</v>
      </c>
      <c r="N135" s="15" t="s">
        <v>235</v>
      </c>
      <c r="O135" s="15">
        <v>28</v>
      </c>
      <c r="P135" s="15">
        <v>70</v>
      </c>
      <c r="Q135" s="15" t="s">
        <v>235</v>
      </c>
      <c r="R135" s="15" t="s">
        <v>235</v>
      </c>
      <c r="S135" s="15" t="s">
        <v>235</v>
      </c>
      <c r="T135" s="15" t="s">
        <v>235</v>
      </c>
      <c r="U135" s="15">
        <v>1</v>
      </c>
      <c r="V135" s="15" t="s">
        <v>235</v>
      </c>
      <c r="W135" s="15">
        <v>1</v>
      </c>
      <c r="X135" s="15">
        <v>7</v>
      </c>
      <c r="Y135" s="15">
        <v>1016</v>
      </c>
      <c r="Z135" s="15">
        <v>1022</v>
      </c>
      <c r="AA135" s="15" t="s">
        <v>235</v>
      </c>
      <c r="AB135" s="15" t="s">
        <v>529</v>
      </c>
    </row>
    <row r="136" spans="1:28">
      <c r="A136" s="15" t="s">
        <v>668</v>
      </c>
      <c r="B136" s="166" t="str">
        <f t="shared" si="2"/>
        <v>362</v>
      </c>
      <c r="C136" s="15">
        <v>33</v>
      </c>
      <c r="D136" s="15">
        <v>1014</v>
      </c>
      <c r="E136" s="15">
        <v>1019</v>
      </c>
      <c r="F136" s="15">
        <v>1053</v>
      </c>
      <c r="G136" s="15">
        <v>1052</v>
      </c>
      <c r="H136" s="15">
        <v>220</v>
      </c>
      <c r="I136" s="15">
        <v>220</v>
      </c>
      <c r="J136" s="15">
        <v>0</v>
      </c>
      <c r="K136" s="15" t="s">
        <v>235</v>
      </c>
      <c r="L136" s="15">
        <v>0.5</v>
      </c>
      <c r="M136" s="15" t="s">
        <v>649</v>
      </c>
      <c r="N136" s="15" t="s">
        <v>235</v>
      </c>
      <c r="O136" s="15">
        <v>28</v>
      </c>
      <c r="P136" s="15">
        <v>70</v>
      </c>
      <c r="Q136" s="15" t="s">
        <v>235</v>
      </c>
      <c r="R136" s="15" t="s">
        <v>235</v>
      </c>
      <c r="S136" s="15" t="s">
        <v>235</v>
      </c>
      <c r="T136" s="15" t="s">
        <v>235</v>
      </c>
      <c r="U136" s="15">
        <v>1</v>
      </c>
      <c r="V136" s="15" t="s">
        <v>235</v>
      </c>
      <c r="W136" s="15">
        <v>1</v>
      </c>
      <c r="X136" s="15">
        <v>7</v>
      </c>
      <c r="Y136" s="15">
        <v>1043</v>
      </c>
      <c r="Z136" s="15">
        <v>1047</v>
      </c>
      <c r="AA136" s="15" t="s">
        <v>235</v>
      </c>
      <c r="AB136" s="15" t="s">
        <v>668</v>
      </c>
    </row>
    <row r="137" spans="1:28">
      <c r="A137" s="15" t="s">
        <v>530</v>
      </c>
      <c r="B137" s="166" t="str">
        <f t="shared" si="2"/>
        <v>364</v>
      </c>
      <c r="C137" s="15">
        <v>33</v>
      </c>
      <c r="D137" s="15">
        <v>10899</v>
      </c>
      <c r="E137" s="15">
        <v>1021</v>
      </c>
      <c r="F137" s="15">
        <v>1053</v>
      </c>
      <c r="G137" s="15">
        <v>1052</v>
      </c>
      <c r="H137" s="15">
        <v>88</v>
      </c>
      <c r="I137" s="15">
        <v>88</v>
      </c>
      <c r="J137" s="15">
        <v>0</v>
      </c>
      <c r="K137" s="15" t="s">
        <v>235</v>
      </c>
      <c r="L137" s="15">
        <v>0.5</v>
      </c>
      <c r="M137" s="15" t="s">
        <v>649</v>
      </c>
      <c r="N137" s="15" t="s">
        <v>235</v>
      </c>
      <c r="O137" s="15">
        <v>29</v>
      </c>
      <c r="P137" s="15">
        <v>70</v>
      </c>
      <c r="Q137" s="15" t="s">
        <v>235</v>
      </c>
      <c r="R137" s="15" t="s">
        <v>235</v>
      </c>
      <c r="S137" s="15" t="s">
        <v>235</v>
      </c>
      <c r="T137" s="15" t="s">
        <v>235</v>
      </c>
      <c r="U137" s="15">
        <v>1</v>
      </c>
      <c r="V137" s="15" t="s">
        <v>235</v>
      </c>
      <c r="W137" s="15">
        <v>1</v>
      </c>
      <c r="X137" s="15">
        <v>7</v>
      </c>
      <c r="Y137" s="15">
        <v>1016</v>
      </c>
      <c r="Z137" s="15">
        <v>1022</v>
      </c>
      <c r="AA137" s="15" t="s">
        <v>235</v>
      </c>
      <c r="AB137" s="15" t="s">
        <v>530</v>
      </c>
    </row>
    <row r="138" spans="1:28">
      <c r="A138" s="15" t="s">
        <v>667</v>
      </c>
      <c r="B138" s="166" t="str">
        <f t="shared" si="2"/>
        <v>364</v>
      </c>
      <c r="C138" s="15">
        <v>33</v>
      </c>
      <c r="D138" s="15">
        <v>1014</v>
      </c>
      <c r="E138" s="15">
        <v>1019</v>
      </c>
      <c r="F138" s="15">
        <v>1053</v>
      </c>
      <c r="G138" s="15">
        <v>1052</v>
      </c>
      <c r="H138" s="15">
        <v>221</v>
      </c>
      <c r="I138" s="15">
        <v>221</v>
      </c>
      <c r="J138" s="15">
        <v>0</v>
      </c>
      <c r="K138" s="15" t="s">
        <v>235</v>
      </c>
      <c r="L138" s="15">
        <v>0.5</v>
      </c>
      <c r="M138" s="15" t="s">
        <v>649</v>
      </c>
      <c r="N138" s="15" t="s">
        <v>235</v>
      </c>
      <c r="O138" s="15">
        <v>29</v>
      </c>
      <c r="P138" s="15">
        <v>70</v>
      </c>
      <c r="Q138" s="15" t="s">
        <v>235</v>
      </c>
      <c r="R138" s="15" t="s">
        <v>235</v>
      </c>
      <c r="S138" s="15" t="s">
        <v>235</v>
      </c>
      <c r="T138" s="15" t="s">
        <v>235</v>
      </c>
      <c r="U138" s="15">
        <v>1</v>
      </c>
      <c r="V138" s="15" t="s">
        <v>235</v>
      </c>
      <c r="W138" s="15">
        <v>1</v>
      </c>
      <c r="X138" s="15">
        <v>7</v>
      </c>
      <c r="Y138" s="15">
        <v>1043</v>
      </c>
      <c r="Z138" s="15">
        <v>1047</v>
      </c>
      <c r="AA138" s="15" t="s">
        <v>235</v>
      </c>
      <c r="AB138" s="15" t="s">
        <v>667</v>
      </c>
    </row>
    <row r="139" spans="1:28">
      <c r="A139" s="15" t="s">
        <v>531</v>
      </c>
      <c r="B139" s="166" t="str">
        <f t="shared" si="2"/>
        <v>365</v>
      </c>
      <c r="C139" s="15">
        <v>33</v>
      </c>
      <c r="D139" s="15">
        <v>10899</v>
      </c>
      <c r="E139" s="15">
        <v>1021</v>
      </c>
      <c r="F139" s="15">
        <v>1053</v>
      </c>
      <c r="G139" s="15">
        <v>1052</v>
      </c>
      <c r="H139" s="15">
        <v>89</v>
      </c>
      <c r="I139" s="15">
        <v>89</v>
      </c>
      <c r="J139" s="15">
        <v>0</v>
      </c>
      <c r="K139" s="15" t="s">
        <v>235</v>
      </c>
      <c r="L139" s="15">
        <v>0.5</v>
      </c>
      <c r="M139" s="15" t="s">
        <v>649</v>
      </c>
      <c r="N139" s="15" t="s">
        <v>235</v>
      </c>
      <c r="O139" s="15">
        <v>30</v>
      </c>
      <c r="P139" s="15">
        <v>70</v>
      </c>
      <c r="Q139" s="15" t="s">
        <v>235</v>
      </c>
      <c r="R139" s="15" t="s">
        <v>235</v>
      </c>
      <c r="S139" s="15" t="s">
        <v>235</v>
      </c>
      <c r="T139" s="15" t="s">
        <v>235</v>
      </c>
      <c r="U139" s="15">
        <v>1</v>
      </c>
      <c r="V139" s="15" t="s">
        <v>235</v>
      </c>
      <c r="W139" s="15">
        <v>1</v>
      </c>
      <c r="X139" s="15">
        <v>7</v>
      </c>
      <c r="Y139" s="15">
        <v>1016</v>
      </c>
      <c r="Z139" s="15">
        <v>1022</v>
      </c>
      <c r="AA139" s="15" t="s">
        <v>235</v>
      </c>
      <c r="AB139" s="15" t="s">
        <v>531</v>
      </c>
    </row>
    <row r="140" spans="1:28">
      <c r="A140" s="15" t="s">
        <v>666</v>
      </c>
      <c r="B140" s="166" t="str">
        <f t="shared" si="2"/>
        <v>365</v>
      </c>
      <c r="C140" s="15">
        <v>33</v>
      </c>
      <c r="D140" s="15">
        <v>1014</v>
      </c>
      <c r="E140" s="15">
        <v>1019</v>
      </c>
      <c r="F140" s="15">
        <v>1053</v>
      </c>
      <c r="G140" s="15">
        <v>1052</v>
      </c>
      <c r="H140" s="15">
        <v>222</v>
      </c>
      <c r="I140" s="15">
        <v>222</v>
      </c>
      <c r="J140" s="15">
        <v>0</v>
      </c>
      <c r="K140" s="15" t="s">
        <v>235</v>
      </c>
      <c r="L140" s="15">
        <v>0.5</v>
      </c>
      <c r="M140" s="15" t="s">
        <v>649</v>
      </c>
      <c r="N140" s="15" t="s">
        <v>235</v>
      </c>
      <c r="O140" s="15">
        <v>30</v>
      </c>
      <c r="P140" s="15">
        <v>70</v>
      </c>
      <c r="Q140" s="15" t="s">
        <v>235</v>
      </c>
      <c r="R140" s="15" t="s">
        <v>235</v>
      </c>
      <c r="S140" s="15" t="s">
        <v>235</v>
      </c>
      <c r="T140" s="15" t="s">
        <v>235</v>
      </c>
      <c r="U140" s="15">
        <v>1</v>
      </c>
      <c r="V140" s="15" t="s">
        <v>235</v>
      </c>
      <c r="W140" s="15">
        <v>1</v>
      </c>
      <c r="X140" s="15">
        <v>7</v>
      </c>
      <c r="Y140" s="15">
        <v>1043</v>
      </c>
      <c r="Z140" s="15">
        <v>1047</v>
      </c>
      <c r="AA140" s="15" t="s">
        <v>235</v>
      </c>
      <c r="AB140" s="15" t="s">
        <v>666</v>
      </c>
    </row>
    <row r="141" spans="1:28">
      <c r="A141" s="15" t="s">
        <v>532</v>
      </c>
      <c r="B141" s="166" t="str">
        <f t="shared" si="2"/>
        <v>366</v>
      </c>
      <c r="C141" s="15">
        <v>33</v>
      </c>
      <c r="D141" s="15">
        <v>10899</v>
      </c>
      <c r="E141" s="15">
        <v>1021</v>
      </c>
      <c r="F141" s="15">
        <v>1053</v>
      </c>
      <c r="G141" s="15">
        <v>1052</v>
      </c>
      <c r="H141" s="15">
        <v>90</v>
      </c>
      <c r="I141" s="15">
        <v>90</v>
      </c>
      <c r="J141" s="15">
        <v>0</v>
      </c>
      <c r="K141" s="15" t="s">
        <v>235</v>
      </c>
      <c r="L141" s="15">
        <v>0.5</v>
      </c>
      <c r="M141" s="15" t="s">
        <v>649</v>
      </c>
      <c r="N141" s="15" t="s">
        <v>235</v>
      </c>
      <c r="O141" s="15">
        <v>31</v>
      </c>
      <c r="P141" s="15">
        <v>70</v>
      </c>
      <c r="Q141" s="15" t="s">
        <v>235</v>
      </c>
      <c r="R141" s="15" t="s">
        <v>235</v>
      </c>
      <c r="S141" s="15" t="s">
        <v>235</v>
      </c>
      <c r="T141" s="15" t="s">
        <v>235</v>
      </c>
      <c r="U141" s="15">
        <v>1</v>
      </c>
      <c r="V141" s="15" t="s">
        <v>235</v>
      </c>
      <c r="W141" s="15">
        <v>1</v>
      </c>
      <c r="X141" s="15">
        <v>7</v>
      </c>
      <c r="Y141" s="15">
        <v>1016</v>
      </c>
      <c r="Z141" s="15">
        <v>1022</v>
      </c>
      <c r="AA141" s="15" t="s">
        <v>235</v>
      </c>
      <c r="AB141" s="15" t="s">
        <v>532</v>
      </c>
    </row>
    <row r="142" spans="1:28">
      <c r="A142" s="15" t="s">
        <v>665</v>
      </c>
      <c r="B142" s="166" t="str">
        <f t="shared" si="2"/>
        <v>366</v>
      </c>
      <c r="C142" s="15">
        <v>33</v>
      </c>
      <c r="D142" s="15">
        <v>1014</v>
      </c>
      <c r="E142" s="15">
        <v>1019</v>
      </c>
      <c r="F142" s="15">
        <v>1053</v>
      </c>
      <c r="G142" s="15">
        <v>1052</v>
      </c>
      <c r="H142" s="15">
        <v>223</v>
      </c>
      <c r="I142" s="15">
        <v>223</v>
      </c>
      <c r="J142" s="15">
        <v>0</v>
      </c>
      <c r="K142" s="15" t="s">
        <v>235</v>
      </c>
      <c r="L142" s="15">
        <v>0.5</v>
      </c>
      <c r="M142" s="15" t="s">
        <v>649</v>
      </c>
      <c r="N142" s="15" t="s">
        <v>235</v>
      </c>
      <c r="O142" s="15">
        <v>31</v>
      </c>
      <c r="P142" s="15">
        <v>70</v>
      </c>
      <c r="Q142" s="15" t="s">
        <v>235</v>
      </c>
      <c r="R142" s="15" t="s">
        <v>235</v>
      </c>
      <c r="S142" s="15" t="s">
        <v>235</v>
      </c>
      <c r="T142" s="15" t="s">
        <v>235</v>
      </c>
      <c r="U142" s="15">
        <v>1</v>
      </c>
      <c r="V142" s="15" t="s">
        <v>235</v>
      </c>
      <c r="W142" s="15">
        <v>1</v>
      </c>
      <c r="X142" s="15">
        <v>7</v>
      </c>
      <c r="Y142" s="15">
        <v>1043</v>
      </c>
      <c r="Z142" s="15">
        <v>1047</v>
      </c>
      <c r="AA142" s="15" t="s">
        <v>235</v>
      </c>
      <c r="AB142" s="15" t="s">
        <v>665</v>
      </c>
    </row>
    <row r="143" spans="1:28">
      <c r="A143" s="15" t="s">
        <v>533</v>
      </c>
      <c r="B143" s="166" t="str">
        <f t="shared" si="2"/>
        <v>367</v>
      </c>
      <c r="C143" s="15">
        <v>33</v>
      </c>
      <c r="D143" s="15">
        <v>10899</v>
      </c>
      <c r="E143" s="15">
        <v>1021</v>
      </c>
      <c r="F143" s="15">
        <v>1053</v>
      </c>
      <c r="G143" s="15">
        <v>1052</v>
      </c>
      <c r="H143" s="15">
        <v>91</v>
      </c>
      <c r="I143" s="15">
        <v>91</v>
      </c>
      <c r="J143" s="15">
        <v>0</v>
      </c>
      <c r="K143" s="15" t="s">
        <v>235</v>
      </c>
      <c r="L143" s="15">
        <v>0.5</v>
      </c>
      <c r="M143" s="15" t="s">
        <v>649</v>
      </c>
      <c r="N143" s="15" t="s">
        <v>235</v>
      </c>
      <c r="O143" s="15">
        <v>32</v>
      </c>
      <c r="P143" s="15">
        <v>70</v>
      </c>
      <c r="Q143" s="15" t="s">
        <v>235</v>
      </c>
      <c r="R143" s="15" t="s">
        <v>235</v>
      </c>
      <c r="S143" s="15" t="s">
        <v>235</v>
      </c>
      <c r="T143" s="15" t="s">
        <v>235</v>
      </c>
      <c r="U143" s="15">
        <v>1</v>
      </c>
      <c r="V143" s="15" t="s">
        <v>235</v>
      </c>
      <c r="W143" s="15">
        <v>1</v>
      </c>
      <c r="X143" s="15">
        <v>7</v>
      </c>
      <c r="Y143" s="15">
        <v>1016</v>
      </c>
      <c r="Z143" s="15">
        <v>1022</v>
      </c>
      <c r="AA143" s="15" t="s">
        <v>235</v>
      </c>
      <c r="AB143" s="15" t="s">
        <v>533</v>
      </c>
    </row>
    <row r="144" spans="1:28">
      <c r="A144" s="15" t="s">
        <v>664</v>
      </c>
      <c r="B144" s="166" t="str">
        <f t="shared" si="2"/>
        <v>367</v>
      </c>
      <c r="C144" s="15">
        <v>33</v>
      </c>
      <c r="D144" s="15">
        <v>1014</v>
      </c>
      <c r="E144" s="15">
        <v>1019</v>
      </c>
      <c r="F144" s="15">
        <v>1053</v>
      </c>
      <c r="G144" s="15">
        <v>1052</v>
      </c>
      <c r="H144" s="15">
        <v>224</v>
      </c>
      <c r="I144" s="15">
        <v>224</v>
      </c>
      <c r="J144" s="15">
        <v>0</v>
      </c>
      <c r="K144" s="15" t="s">
        <v>235</v>
      </c>
      <c r="L144" s="15">
        <v>0.5</v>
      </c>
      <c r="M144" s="15" t="s">
        <v>649</v>
      </c>
      <c r="N144" s="15" t="s">
        <v>235</v>
      </c>
      <c r="O144" s="15">
        <v>32</v>
      </c>
      <c r="P144" s="15">
        <v>70</v>
      </c>
      <c r="Q144" s="15" t="s">
        <v>235</v>
      </c>
      <c r="R144" s="15" t="s">
        <v>235</v>
      </c>
      <c r="S144" s="15" t="s">
        <v>235</v>
      </c>
      <c r="T144" s="15" t="s">
        <v>235</v>
      </c>
      <c r="U144" s="15">
        <v>1</v>
      </c>
      <c r="V144" s="15" t="s">
        <v>235</v>
      </c>
      <c r="W144" s="15">
        <v>1</v>
      </c>
      <c r="X144" s="15">
        <v>7</v>
      </c>
      <c r="Y144" s="15">
        <v>1043</v>
      </c>
      <c r="Z144" s="15">
        <v>1047</v>
      </c>
      <c r="AA144" s="15" t="s">
        <v>235</v>
      </c>
      <c r="AB144" s="15" t="s">
        <v>664</v>
      </c>
    </row>
    <row r="145" spans="1:28">
      <c r="A145" s="15" t="s">
        <v>534</v>
      </c>
      <c r="B145" s="166" t="str">
        <f t="shared" si="2"/>
        <v>368</v>
      </c>
      <c r="C145" s="15">
        <v>33</v>
      </c>
      <c r="D145" s="15">
        <v>10899</v>
      </c>
      <c r="E145" s="15">
        <v>1021</v>
      </c>
      <c r="F145" s="15">
        <v>1053</v>
      </c>
      <c r="G145" s="15">
        <v>1052</v>
      </c>
      <c r="H145" s="15">
        <v>92</v>
      </c>
      <c r="I145" s="15">
        <v>92</v>
      </c>
      <c r="J145" s="15">
        <v>0</v>
      </c>
      <c r="K145" s="15" t="s">
        <v>235</v>
      </c>
      <c r="L145" s="15">
        <v>0.5</v>
      </c>
      <c r="M145" s="15" t="s">
        <v>649</v>
      </c>
      <c r="N145" s="15" t="s">
        <v>235</v>
      </c>
      <c r="O145" s="15">
        <v>33</v>
      </c>
      <c r="P145" s="15">
        <v>47</v>
      </c>
      <c r="Q145" s="15" t="s">
        <v>235</v>
      </c>
      <c r="R145" s="15" t="s">
        <v>235</v>
      </c>
      <c r="S145" s="15" t="s">
        <v>235</v>
      </c>
      <c r="T145" s="15" t="s">
        <v>235</v>
      </c>
      <c r="U145" s="15">
        <v>1</v>
      </c>
      <c r="V145" s="15" t="s">
        <v>235</v>
      </c>
      <c r="W145" s="15">
        <v>1</v>
      </c>
      <c r="X145" s="15">
        <v>7</v>
      </c>
      <c r="Y145" s="15">
        <v>1016</v>
      </c>
      <c r="Z145" s="15">
        <v>1022</v>
      </c>
      <c r="AA145" s="15" t="s">
        <v>235</v>
      </c>
      <c r="AB145" s="15" t="s">
        <v>534</v>
      </c>
    </row>
    <row r="146" spans="1:28">
      <c r="A146" s="15" t="s">
        <v>535</v>
      </c>
      <c r="B146" s="166" t="str">
        <f t="shared" si="2"/>
        <v>368</v>
      </c>
      <c r="C146" s="15">
        <v>33</v>
      </c>
      <c r="D146" s="15">
        <v>10899</v>
      </c>
      <c r="E146" s="15">
        <v>1021</v>
      </c>
      <c r="F146" s="15">
        <v>1053</v>
      </c>
      <c r="G146" s="15">
        <v>1052</v>
      </c>
      <c r="H146" s="15">
        <v>93</v>
      </c>
      <c r="I146" s="15">
        <v>93</v>
      </c>
      <c r="J146" s="15">
        <v>0</v>
      </c>
      <c r="K146" s="15" t="s">
        <v>235</v>
      </c>
      <c r="L146" s="15">
        <v>0.5</v>
      </c>
      <c r="M146" s="15" t="s">
        <v>649</v>
      </c>
      <c r="N146" s="15" t="s">
        <v>235</v>
      </c>
      <c r="O146" s="15">
        <v>33</v>
      </c>
      <c r="P146" s="15">
        <v>62</v>
      </c>
      <c r="Q146" s="15" t="s">
        <v>235</v>
      </c>
      <c r="R146" s="15" t="s">
        <v>235</v>
      </c>
      <c r="S146" s="15" t="s">
        <v>235</v>
      </c>
      <c r="T146" s="15" t="s">
        <v>235</v>
      </c>
      <c r="U146" s="15">
        <v>1</v>
      </c>
      <c r="V146" s="15" t="s">
        <v>235</v>
      </c>
      <c r="W146" s="15">
        <v>1</v>
      </c>
      <c r="X146" s="15">
        <v>7</v>
      </c>
      <c r="Y146" s="15">
        <v>1016</v>
      </c>
      <c r="Z146" s="15">
        <v>1022</v>
      </c>
      <c r="AA146" s="15" t="s">
        <v>235</v>
      </c>
      <c r="AB146" s="15" t="s">
        <v>535</v>
      </c>
    </row>
    <row r="147" spans="1:28">
      <c r="A147" s="15" t="s">
        <v>663</v>
      </c>
      <c r="B147" s="166" t="str">
        <f t="shared" si="2"/>
        <v>368</v>
      </c>
      <c r="C147" s="15">
        <v>33</v>
      </c>
      <c r="D147" s="15">
        <v>1014</v>
      </c>
      <c r="E147" s="15">
        <v>1019</v>
      </c>
      <c r="F147" s="15">
        <v>1053</v>
      </c>
      <c r="G147" s="15">
        <v>1052</v>
      </c>
      <c r="H147" s="15">
        <v>225</v>
      </c>
      <c r="I147" s="15">
        <v>225</v>
      </c>
      <c r="J147" s="15">
        <v>0</v>
      </c>
      <c r="K147" s="15" t="s">
        <v>235</v>
      </c>
      <c r="L147" s="15">
        <v>0.5</v>
      </c>
      <c r="M147" s="15" t="s">
        <v>649</v>
      </c>
      <c r="N147" s="15" t="s">
        <v>235</v>
      </c>
      <c r="O147" s="15">
        <v>33</v>
      </c>
      <c r="P147" s="15">
        <v>70</v>
      </c>
      <c r="Q147" s="15" t="s">
        <v>235</v>
      </c>
      <c r="R147" s="15" t="s">
        <v>235</v>
      </c>
      <c r="S147" s="15" t="s">
        <v>235</v>
      </c>
      <c r="T147" s="15" t="s">
        <v>235</v>
      </c>
      <c r="U147" s="15">
        <v>1</v>
      </c>
      <c r="V147" s="15" t="s">
        <v>235</v>
      </c>
      <c r="W147" s="15">
        <v>1</v>
      </c>
      <c r="X147" s="15">
        <v>7</v>
      </c>
      <c r="Y147" s="15">
        <v>1043</v>
      </c>
      <c r="Z147" s="15">
        <v>1047</v>
      </c>
      <c r="AA147" s="15" t="s">
        <v>235</v>
      </c>
      <c r="AB147" s="15" t="s">
        <v>663</v>
      </c>
    </row>
    <row r="148" spans="1:28">
      <c r="A148" s="15" t="s">
        <v>536</v>
      </c>
      <c r="B148" s="166" t="str">
        <f t="shared" si="2"/>
        <v>369</v>
      </c>
      <c r="C148" s="15">
        <v>33</v>
      </c>
      <c r="D148" s="15">
        <v>10899</v>
      </c>
      <c r="E148" s="15">
        <v>1021</v>
      </c>
      <c r="F148" s="15">
        <v>1053</v>
      </c>
      <c r="G148" s="15">
        <v>1052</v>
      </c>
      <c r="H148" s="15">
        <v>94</v>
      </c>
      <c r="I148" s="15">
        <v>94</v>
      </c>
      <c r="J148" s="15">
        <v>0</v>
      </c>
      <c r="K148" s="15" t="s">
        <v>235</v>
      </c>
      <c r="L148" s="15">
        <v>0.5</v>
      </c>
      <c r="M148" s="15" t="s">
        <v>649</v>
      </c>
      <c r="N148" s="15" t="s">
        <v>235</v>
      </c>
      <c r="O148" s="15">
        <v>34</v>
      </c>
      <c r="P148" s="15">
        <v>47</v>
      </c>
      <c r="Q148" s="15" t="s">
        <v>235</v>
      </c>
      <c r="R148" s="15" t="s">
        <v>235</v>
      </c>
      <c r="S148" s="15" t="s">
        <v>235</v>
      </c>
      <c r="T148" s="15" t="s">
        <v>235</v>
      </c>
      <c r="U148" s="15">
        <v>1</v>
      </c>
      <c r="V148" s="15" t="s">
        <v>235</v>
      </c>
      <c r="W148" s="15">
        <v>1</v>
      </c>
      <c r="X148" s="15">
        <v>7</v>
      </c>
      <c r="Y148" s="15">
        <v>1016</v>
      </c>
      <c r="Z148" s="15">
        <v>1022</v>
      </c>
      <c r="AA148" s="15" t="s">
        <v>235</v>
      </c>
      <c r="AB148" s="15" t="s">
        <v>536</v>
      </c>
    </row>
    <row r="149" spans="1:28">
      <c r="A149" s="15" t="s">
        <v>537</v>
      </c>
      <c r="B149" s="166" t="str">
        <f t="shared" si="2"/>
        <v>369</v>
      </c>
      <c r="C149" s="15">
        <v>33</v>
      </c>
      <c r="D149" s="15">
        <v>10899</v>
      </c>
      <c r="E149" s="15">
        <v>1021</v>
      </c>
      <c r="F149" s="15">
        <v>1053</v>
      </c>
      <c r="G149" s="15">
        <v>1052</v>
      </c>
      <c r="H149" s="15">
        <v>95</v>
      </c>
      <c r="I149" s="15">
        <v>95</v>
      </c>
      <c r="J149" s="15">
        <v>0</v>
      </c>
      <c r="K149" s="15" t="s">
        <v>235</v>
      </c>
      <c r="L149" s="15">
        <v>0.5</v>
      </c>
      <c r="M149" s="15" t="s">
        <v>649</v>
      </c>
      <c r="N149" s="15" t="s">
        <v>235</v>
      </c>
      <c r="O149" s="15">
        <v>34</v>
      </c>
      <c r="P149" s="15">
        <v>62</v>
      </c>
      <c r="Q149" s="15" t="s">
        <v>235</v>
      </c>
      <c r="R149" s="15" t="s">
        <v>235</v>
      </c>
      <c r="S149" s="15" t="s">
        <v>235</v>
      </c>
      <c r="T149" s="15" t="s">
        <v>235</v>
      </c>
      <c r="U149" s="15">
        <v>1</v>
      </c>
      <c r="V149" s="15" t="s">
        <v>235</v>
      </c>
      <c r="W149" s="15">
        <v>1</v>
      </c>
      <c r="X149" s="15">
        <v>7</v>
      </c>
      <c r="Y149" s="15">
        <v>1016</v>
      </c>
      <c r="Z149" s="15">
        <v>1022</v>
      </c>
      <c r="AA149" s="15" t="s">
        <v>235</v>
      </c>
      <c r="AB149" s="15" t="s">
        <v>537</v>
      </c>
    </row>
    <row r="150" spans="1:28">
      <c r="A150" s="15" t="s">
        <v>662</v>
      </c>
      <c r="B150" s="166" t="str">
        <f t="shared" si="2"/>
        <v>369</v>
      </c>
      <c r="C150" s="15">
        <v>33</v>
      </c>
      <c r="D150" s="15">
        <v>1014</v>
      </c>
      <c r="E150" s="15">
        <v>1019</v>
      </c>
      <c r="F150" s="15">
        <v>1053</v>
      </c>
      <c r="G150" s="15">
        <v>1052</v>
      </c>
      <c r="H150" s="15">
        <v>226</v>
      </c>
      <c r="I150" s="15">
        <v>226</v>
      </c>
      <c r="J150" s="15">
        <v>0</v>
      </c>
      <c r="K150" s="15" t="s">
        <v>235</v>
      </c>
      <c r="L150" s="15">
        <v>0.5</v>
      </c>
      <c r="M150" s="15" t="s">
        <v>649</v>
      </c>
      <c r="N150" s="15" t="s">
        <v>235</v>
      </c>
      <c r="O150" s="15">
        <v>34</v>
      </c>
      <c r="P150" s="15">
        <v>47</v>
      </c>
      <c r="Q150" s="15" t="s">
        <v>235</v>
      </c>
      <c r="R150" s="15" t="s">
        <v>235</v>
      </c>
      <c r="S150" s="15" t="s">
        <v>235</v>
      </c>
      <c r="T150" s="15" t="s">
        <v>235</v>
      </c>
      <c r="U150" s="15">
        <v>1</v>
      </c>
      <c r="V150" s="15" t="s">
        <v>235</v>
      </c>
      <c r="W150" s="15">
        <v>1</v>
      </c>
      <c r="X150" s="15">
        <v>7</v>
      </c>
      <c r="Y150" s="15">
        <v>1043</v>
      </c>
      <c r="Z150" s="15">
        <v>1047</v>
      </c>
      <c r="AA150" s="15" t="s">
        <v>235</v>
      </c>
      <c r="AB150" s="15" t="s">
        <v>662</v>
      </c>
    </row>
    <row r="151" spans="1:28">
      <c r="A151" s="15" t="s">
        <v>661</v>
      </c>
      <c r="B151" s="166" t="str">
        <f t="shared" si="2"/>
        <v>369</v>
      </c>
      <c r="C151" s="15">
        <v>33</v>
      </c>
      <c r="D151" s="15">
        <v>1014</v>
      </c>
      <c r="E151" s="15">
        <v>1019</v>
      </c>
      <c r="F151" s="15">
        <v>1053</v>
      </c>
      <c r="G151" s="15">
        <v>1052</v>
      </c>
      <c r="H151" s="15">
        <v>227</v>
      </c>
      <c r="I151" s="15">
        <v>227</v>
      </c>
      <c r="J151" s="15">
        <v>0</v>
      </c>
      <c r="K151" s="15" t="s">
        <v>235</v>
      </c>
      <c r="L151" s="15">
        <v>0.5</v>
      </c>
      <c r="M151" s="15" t="s">
        <v>649</v>
      </c>
      <c r="N151" s="15" t="s">
        <v>235</v>
      </c>
      <c r="O151" s="15">
        <v>34</v>
      </c>
      <c r="P151" s="15">
        <v>62</v>
      </c>
      <c r="Q151" s="15" t="s">
        <v>235</v>
      </c>
      <c r="R151" s="15" t="s">
        <v>235</v>
      </c>
      <c r="S151" s="15" t="s">
        <v>235</v>
      </c>
      <c r="T151" s="15" t="s">
        <v>235</v>
      </c>
      <c r="U151" s="15">
        <v>1</v>
      </c>
      <c r="V151" s="15" t="s">
        <v>235</v>
      </c>
      <c r="W151" s="15">
        <v>1</v>
      </c>
      <c r="X151" s="15">
        <v>7</v>
      </c>
      <c r="Y151" s="15">
        <v>1043</v>
      </c>
      <c r="Z151" s="15">
        <v>1047</v>
      </c>
      <c r="AA151" s="15" t="s">
        <v>235</v>
      </c>
      <c r="AB151" s="15" t="s">
        <v>661</v>
      </c>
    </row>
    <row r="152" spans="1:28">
      <c r="A152" s="15" t="s">
        <v>538</v>
      </c>
      <c r="B152" s="166" t="str">
        <f t="shared" si="2"/>
        <v>370</v>
      </c>
      <c r="C152" s="15">
        <v>33</v>
      </c>
      <c r="D152" s="15">
        <v>10899</v>
      </c>
      <c r="E152" s="15">
        <v>1021</v>
      </c>
      <c r="F152" s="15">
        <v>1053</v>
      </c>
      <c r="G152" s="15">
        <v>1052</v>
      </c>
      <c r="H152" s="15">
        <v>96</v>
      </c>
      <c r="I152" s="15">
        <v>96</v>
      </c>
      <c r="J152" s="15">
        <v>0</v>
      </c>
      <c r="K152" s="15" t="s">
        <v>235</v>
      </c>
      <c r="L152" s="15">
        <v>0.5</v>
      </c>
      <c r="M152" s="15" t="s">
        <v>649</v>
      </c>
      <c r="N152" s="15" t="s">
        <v>235</v>
      </c>
      <c r="O152" s="15">
        <v>35</v>
      </c>
      <c r="P152" s="15">
        <v>70</v>
      </c>
      <c r="Q152" s="15" t="s">
        <v>235</v>
      </c>
      <c r="R152" s="15" t="s">
        <v>235</v>
      </c>
      <c r="S152" s="15" t="s">
        <v>235</v>
      </c>
      <c r="T152" s="15" t="s">
        <v>235</v>
      </c>
      <c r="U152" s="15">
        <v>1</v>
      </c>
      <c r="V152" s="15" t="s">
        <v>235</v>
      </c>
      <c r="W152" s="15">
        <v>1</v>
      </c>
      <c r="X152" s="15">
        <v>7</v>
      </c>
      <c r="Y152" s="15">
        <v>1016</v>
      </c>
      <c r="Z152" s="15">
        <v>1022</v>
      </c>
      <c r="AA152" s="15" t="s">
        <v>235</v>
      </c>
      <c r="AB152" s="15" t="s">
        <v>538</v>
      </c>
    </row>
    <row r="153" spans="1:28">
      <c r="A153" s="15" t="s">
        <v>660</v>
      </c>
      <c r="B153" s="166" t="str">
        <f t="shared" si="2"/>
        <v>370</v>
      </c>
      <c r="C153" s="15">
        <v>33</v>
      </c>
      <c r="D153" s="15">
        <v>1014</v>
      </c>
      <c r="E153" s="15">
        <v>1019</v>
      </c>
      <c r="F153" s="15">
        <v>1053</v>
      </c>
      <c r="G153" s="15">
        <v>1052</v>
      </c>
      <c r="H153" s="15">
        <v>228</v>
      </c>
      <c r="I153" s="15">
        <v>228</v>
      </c>
      <c r="J153" s="15">
        <v>0</v>
      </c>
      <c r="K153" s="15" t="s">
        <v>235</v>
      </c>
      <c r="L153" s="15">
        <v>0.5</v>
      </c>
      <c r="M153" s="15" t="s">
        <v>649</v>
      </c>
      <c r="N153" s="15" t="s">
        <v>235</v>
      </c>
      <c r="O153" s="15">
        <v>35</v>
      </c>
      <c r="P153" s="15">
        <v>70</v>
      </c>
      <c r="Q153" s="15" t="s">
        <v>235</v>
      </c>
      <c r="R153" s="15" t="s">
        <v>235</v>
      </c>
      <c r="S153" s="15" t="s">
        <v>235</v>
      </c>
      <c r="T153" s="15" t="s">
        <v>235</v>
      </c>
      <c r="U153" s="15">
        <v>1</v>
      </c>
      <c r="V153" s="15" t="s">
        <v>235</v>
      </c>
      <c r="W153" s="15">
        <v>1</v>
      </c>
      <c r="X153" s="15">
        <v>7</v>
      </c>
      <c r="Y153" s="15">
        <v>1043</v>
      </c>
      <c r="Z153" s="15">
        <v>1047</v>
      </c>
      <c r="AA153" s="15" t="s">
        <v>235</v>
      </c>
      <c r="AB153" s="15" t="s">
        <v>660</v>
      </c>
    </row>
    <row r="154" spans="1:28">
      <c r="A154" s="15" t="s">
        <v>539</v>
      </c>
      <c r="B154" s="166" t="str">
        <f t="shared" si="2"/>
        <v>373</v>
      </c>
      <c r="C154" s="15">
        <v>33</v>
      </c>
      <c r="D154" s="15">
        <v>10899</v>
      </c>
      <c r="E154" s="15">
        <v>1021</v>
      </c>
      <c r="F154" s="15">
        <v>1053</v>
      </c>
      <c r="G154" s="15">
        <v>1052</v>
      </c>
      <c r="H154" s="15">
        <v>97</v>
      </c>
      <c r="I154" s="15">
        <v>97</v>
      </c>
      <c r="J154" s="15">
        <v>0</v>
      </c>
      <c r="K154" s="15" t="s">
        <v>235</v>
      </c>
      <c r="L154" s="15">
        <v>0.5</v>
      </c>
      <c r="M154" s="15" t="s">
        <v>649</v>
      </c>
      <c r="N154" s="15" t="s">
        <v>235</v>
      </c>
      <c r="O154" s="15">
        <v>36</v>
      </c>
      <c r="P154" s="15">
        <v>70</v>
      </c>
      <c r="Q154" s="15" t="s">
        <v>235</v>
      </c>
      <c r="R154" s="15" t="s">
        <v>235</v>
      </c>
      <c r="S154" s="15" t="s">
        <v>235</v>
      </c>
      <c r="T154" s="15" t="s">
        <v>235</v>
      </c>
      <c r="U154" s="15">
        <v>1</v>
      </c>
      <c r="V154" s="15" t="s">
        <v>235</v>
      </c>
      <c r="W154" s="15">
        <v>1</v>
      </c>
      <c r="X154" s="15">
        <v>7</v>
      </c>
      <c r="Y154" s="15">
        <v>1016</v>
      </c>
      <c r="Z154" s="15">
        <v>1022</v>
      </c>
      <c r="AA154" s="15" t="s">
        <v>235</v>
      </c>
      <c r="AB154" s="15" t="s">
        <v>539</v>
      </c>
    </row>
    <row r="155" spans="1:28">
      <c r="A155" s="15" t="s">
        <v>659</v>
      </c>
      <c r="B155" s="166" t="str">
        <f t="shared" si="2"/>
        <v>373</v>
      </c>
      <c r="C155" s="15">
        <v>33</v>
      </c>
      <c r="D155" s="15">
        <v>1014</v>
      </c>
      <c r="E155" s="15">
        <v>1019</v>
      </c>
      <c r="F155" s="15">
        <v>1053</v>
      </c>
      <c r="G155" s="15">
        <v>1052</v>
      </c>
      <c r="H155" s="15">
        <v>229</v>
      </c>
      <c r="I155" s="15">
        <v>229</v>
      </c>
      <c r="J155" s="15">
        <v>0</v>
      </c>
      <c r="K155" s="15" t="s">
        <v>235</v>
      </c>
      <c r="L155" s="15">
        <v>0.5</v>
      </c>
      <c r="M155" s="15" t="s">
        <v>649</v>
      </c>
      <c r="N155" s="15" t="s">
        <v>235</v>
      </c>
      <c r="O155" s="15">
        <v>36</v>
      </c>
      <c r="P155" s="15">
        <v>70</v>
      </c>
      <c r="Q155" s="15" t="s">
        <v>235</v>
      </c>
      <c r="R155" s="15" t="s">
        <v>235</v>
      </c>
      <c r="S155" s="15" t="s">
        <v>235</v>
      </c>
      <c r="T155" s="15" t="s">
        <v>235</v>
      </c>
      <c r="U155" s="15">
        <v>1</v>
      </c>
      <c r="V155" s="15" t="s">
        <v>235</v>
      </c>
      <c r="W155" s="15">
        <v>1</v>
      </c>
      <c r="X155" s="15">
        <v>7</v>
      </c>
      <c r="Y155" s="15">
        <v>1043</v>
      </c>
      <c r="Z155" s="15">
        <v>1047</v>
      </c>
      <c r="AA155" s="15" t="s">
        <v>235</v>
      </c>
      <c r="AB155" s="15" t="s">
        <v>659</v>
      </c>
    </row>
    <row r="156" spans="1:28">
      <c r="A156" s="15" t="s">
        <v>540</v>
      </c>
      <c r="B156" s="166" t="str">
        <f t="shared" si="2"/>
        <v>389</v>
      </c>
      <c r="C156" s="15">
        <v>33</v>
      </c>
      <c r="D156" s="15">
        <v>10899</v>
      </c>
      <c r="E156" s="15">
        <v>1021</v>
      </c>
      <c r="F156" s="15">
        <v>1053</v>
      </c>
      <c r="G156" s="15">
        <v>1052</v>
      </c>
      <c r="H156" s="15">
        <v>98</v>
      </c>
      <c r="I156" s="15">
        <v>98</v>
      </c>
      <c r="J156" s="15">
        <v>0</v>
      </c>
      <c r="K156" s="15" t="s">
        <v>235</v>
      </c>
      <c r="L156" s="15">
        <v>0.5</v>
      </c>
      <c r="M156" s="15" t="s">
        <v>649</v>
      </c>
      <c r="N156" s="15" t="s">
        <v>235</v>
      </c>
      <c r="O156" s="15">
        <v>37</v>
      </c>
      <c r="P156" s="15">
        <v>33</v>
      </c>
      <c r="Q156" s="15" t="s">
        <v>235</v>
      </c>
      <c r="R156" s="15" t="s">
        <v>235</v>
      </c>
      <c r="S156" s="15" t="s">
        <v>235</v>
      </c>
      <c r="T156" s="15" t="s">
        <v>235</v>
      </c>
      <c r="U156" s="15">
        <v>1</v>
      </c>
      <c r="V156" s="15" t="s">
        <v>235</v>
      </c>
      <c r="W156" s="15">
        <v>1</v>
      </c>
      <c r="X156" s="15">
        <v>8</v>
      </c>
      <c r="Y156" s="15">
        <v>1016</v>
      </c>
      <c r="Z156" s="15">
        <v>1022</v>
      </c>
      <c r="AA156" s="15" t="s">
        <v>235</v>
      </c>
      <c r="AB156" s="15" t="s">
        <v>540</v>
      </c>
    </row>
    <row r="157" spans="1:28">
      <c r="A157" s="15" t="s">
        <v>541</v>
      </c>
      <c r="B157" s="166" t="str">
        <f t="shared" si="2"/>
        <v>389</v>
      </c>
      <c r="C157" s="15">
        <v>33</v>
      </c>
      <c r="D157" s="15">
        <v>10899</v>
      </c>
      <c r="E157" s="15">
        <v>1021</v>
      </c>
      <c r="F157" s="15">
        <v>1053</v>
      </c>
      <c r="G157" s="15">
        <v>1052</v>
      </c>
      <c r="H157" s="15">
        <v>99</v>
      </c>
      <c r="I157" s="15">
        <v>99</v>
      </c>
      <c r="J157" s="15">
        <v>0</v>
      </c>
      <c r="K157" s="15" t="s">
        <v>235</v>
      </c>
      <c r="L157" s="15">
        <v>0.5</v>
      </c>
      <c r="M157" s="15" t="s">
        <v>649</v>
      </c>
      <c r="N157" s="15" t="s">
        <v>235</v>
      </c>
      <c r="O157" s="15">
        <v>37</v>
      </c>
      <c r="P157" s="15">
        <v>33</v>
      </c>
      <c r="Q157" s="15" t="s">
        <v>235</v>
      </c>
      <c r="R157" s="15" t="s">
        <v>235</v>
      </c>
      <c r="S157" s="15" t="s">
        <v>235</v>
      </c>
      <c r="T157" s="15" t="s">
        <v>235</v>
      </c>
      <c r="U157" s="15">
        <v>1</v>
      </c>
      <c r="V157" s="15" t="s">
        <v>235</v>
      </c>
      <c r="W157" s="15">
        <v>1</v>
      </c>
      <c r="X157" s="15">
        <v>8</v>
      </c>
      <c r="Y157" s="15">
        <v>1016</v>
      </c>
      <c r="Z157" s="15">
        <v>1022</v>
      </c>
      <c r="AA157" s="15" t="s">
        <v>235</v>
      </c>
      <c r="AB157" s="15" t="s">
        <v>541</v>
      </c>
    </row>
    <row r="158" spans="1:28">
      <c r="A158" s="15" t="s">
        <v>542</v>
      </c>
      <c r="B158" s="166" t="str">
        <f t="shared" si="2"/>
        <v>389</v>
      </c>
      <c r="C158" s="15">
        <v>33</v>
      </c>
      <c r="D158" s="15">
        <v>10899</v>
      </c>
      <c r="E158" s="15">
        <v>1021</v>
      </c>
      <c r="F158" s="15">
        <v>1053</v>
      </c>
      <c r="G158" s="15">
        <v>1052</v>
      </c>
      <c r="H158" s="15">
        <v>100</v>
      </c>
      <c r="I158" s="15">
        <v>100</v>
      </c>
      <c r="J158" s="15">
        <v>0</v>
      </c>
      <c r="K158" s="15" t="s">
        <v>235</v>
      </c>
      <c r="L158" s="15">
        <v>0.5</v>
      </c>
      <c r="M158" s="15" t="s">
        <v>649</v>
      </c>
      <c r="N158" s="15" t="s">
        <v>235</v>
      </c>
      <c r="O158" s="15">
        <v>37</v>
      </c>
      <c r="P158" s="15">
        <v>33</v>
      </c>
      <c r="Q158" s="15" t="s">
        <v>235</v>
      </c>
      <c r="R158" s="15" t="s">
        <v>235</v>
      </c>
      <c r="S158" s="15" t="s">
        <v>235</v>
      </c>
      <c r="T158" s="15" t="s">
        <v>235</v>
      </c>
      <c r="U158" s="15">
        <v>1</v>
      </c>
      <c r="V158" s="15" t="s">
        <v>235</v>
      </c>
      <c r="W158" s="15">
        <v>1</v>
      </c>
      <c r="X158" s="15">
        <v>8</v>
      </c>
      <c r="Y158" s="15">
        <v>1016</v>
      </c>
      <c r="Z158" s="15">
        <v>1022</v>
      </c>
      <c r="AA158" s="15" t="s">
        <v>235</v>
      </c>
      <c r="AB158" s="15" t="s">
        <v>542</v>
      </c>
    </row>
    <row r="159" spans="1:28">
      <c r="A159" s="15" t="s">
        <v>543</v>
      </c>
      <c r="B159" s="166" t="str">
        <f t="shared" si="2"/>
        <v>389</v>
      </c>
      <c r="C159" s="15">
        <v>33</v>
      </c>
      <c r="D159" s="15">
        <v>10899</v>
      </c>
      <c r="E159" s="15">
        <v>1021</v>
      </c>
      <c r="F159" s="15">
        <v>1053</v>
      </c>
      <c r="G159" s="15">
        <v>1053</v>
      </c>
      <c r="H159" s="15">
        <v>101</v>
      </c>
      <c r="I159" s="15">
        <v>101</v>
      </c>
      <c r="J159" s="15">
        <v>0</v>
      </c>
      <c r="K159" s="15" t="s">
        <v>235</v>
      </c>
      <c r="L159" s="15">
        <v>0.5</v>
      </c>
      <c r="M159" s="15" t="s">
        <v>649</v>
      </c>
      <c r="N159" s="15" t="s">
        <v>235</v>
      </c>
      <c r="O159" s="15">
        <v>37</v>
      </c>
      <c r="P159" s="15">
        <v>33</v>
      </c>
      <c r="Q159" s="15" t="s">
        <v>235</v>
      </c>
      <c r="R159" s="15" t="s">
        <v>235</v>
      </c>
      <c r="S159" s="15" t="s">
        <v>235</v>
      </c>
      <c r="T159" s="15" t="s">
        <v>235</v>
      </c>
      <c r="U159" s="15">
        <v>1</v>
      </c>
      <c r="V159" s="15" t="s">
        <v>235</v>
      </c>
      <c r="W159" s="15">
        <v>1</v>
      </c>
      <c r="X159" s="15">
        <v>8</v>
      </c>
      <c r="Y159" s="15">
        <v>1016</v>
      </c>
      <c r="Z159" s="15">
        <v>1022</v>
      </c>
      <c r="AA159" s="15" t="s">
        <v>235</v>
      </c>
      <c r="AB159" s="15" t="s">
        <v>543</v>
      </c>
    </row>
    <row r="160" spans="1:28">
      <c r="A160" s="15" t="s">
        <v>544</v>
      </c>
      <c r="B160" s="166" t="str">
        <f t="shared" si="2"/>
        <v>389</v>
      </c>
      <c r="C160" s="15">
        <v>33</v>
      </c>
      <c r="D160" s="15">
        <v>10899</v>
      </c>
      <c r="E160" s="15">
        <v>1021</v>
      </c>
      <c r="F160" s="15">
        <v>1053</v>
      </c>
      <c r="G160" s="15">
        <v>1052</v>
      </c>
      <c r="H160" s="15">
        <v>102</v>
      </c>
      <c r="I160" s="15">
        <v>102</v>
      </c>
      <c r="J160" s="15">
        <v>0</v>
      </c>
      <c r="K160" s="15" t="s">
        <v>235</v>
      </c>
      <c r="L160" s="15">
        <v>0.5</v>
      </c>
      <c r="M160" s="15" t="s">
        <v>649</v>
      </c>
      <c r="N160" s="15" t="s">
        <v>235</v>
      </c>
      <c r="O160" s="15">
        <v>37</v>
      </c>
      <c r="P160" s="15">
        <v>33</v>
      </c>
      <c r="Q160" s="15" t="s">
        <v>235</v>
      </c>
      <c r="R160" s="15" t="s">
        <v>235</v>
      </c>
      <c r="S160" s="15" t="s">
        <v>235</v>
      </c>
      <c r="T160" s="15" t="s">
        <v>235</v>
      </c>
      <c r="U160" s="15">
        <v>1</v>
      </c>
      <c r="V160" s="15" t="s">
        <v>235</v>
      </c>
      <c r="W160" s="15">
        <v>1</v>
      </c>
      <c r="X160" s="15">
        <v>8</v>
      </c>
      <c r="Y160" s="15">
        <v>1016</v>
      </c>
      <c r="Z160" s="15">
        <v>1022</v>
      </c>
      <c r="AA160" s="15" t="s">
        <v>235</v>
      </c>
      <c r="AB160" s="15" t="s">
        <v>544</v>
      </c>
    </row>
    <row r="161" spans="1:28">
      <c r="A161" s="15" t="s">
        <v>658</v>
      </c>
      <c r="B161" s="166" t="str">
        <f t="shared" si="2"/>
        <v>389</v>
      </c>
      <c r="C161" s="15">
        <v>33</v>
      </c>
      <c r="D161" s="15">
        <v>1014</v>
      </c>
      <c r="E161" s="15">
        <v>1019</v>
      </c>
      <c r="F161" s="15">
        <v>1053</v>
      </c>
      <c r="G161" s="15">
        <v>1052</v>
      </c>
      <c r="H161" s="15">
        <v>230</v>
      </c>
      <c r="I161" s="15">
        <v>230</v>
      </c>
      <c r="J161" s="15">
        <v>0</v>
      </c>
      <c r="K161" s="15" t="s">
        <v>235</v>
      </c>
      <c r="L161" s="15">
        <v>0.5</v>
      </c>
      <c r="M161" s="15" t="s">
        <v>649</v>
      </c>
      <c r="N161" s="15" t="s">
        <v>235</v>
      </c>
      <c r="O161" s="15">
        <v>37</v>
      </c>
      <c r="P161" s="15">
        <v>33</v>
      </c>
      <c r="Q161" s="15" t="s">
        <v>235</v>
      </c>
      <c r="R161" s="15" t="s">
        <v>235</v>
      </c>
      <c r="S161" s="15" t="s">
        <v>235</v>
      </c>
      <c r="T161" s="15" t="s">
        <v>235</v>
      </c>
      <c r="U161" s="15">
        <v>1</v>
      </c>
      <c r="V161" s="15" t="s">
        <v>235</v>
      </c>
      <c r="W161" s="15">
        <v>1</v>
      </c>
      <c r="X161" s="15">
        <v>8</v>
      </c>
      <c r="Y161" s="15">
        <v>1043</v>
      </c>
      <c r="Z161" s="15">
        <v>1047</v>
      </c>
      <c r="AA161" s="15" t="s">
        <v>235</v>
      </c>
      <c r="AB161" s="15" t="s">
        <v>658</v>
      </c>
    </row>
    <row r="162" spans="1:28">
      <c r="A162" s="15" t="s">
        <v>545</v>
      </c>
      <c r="B162" s="166" t="str">
        <f t="shared" si="2"/>
        <v>390</v>
      </c>
      <c r="C162" s="15">
        <v>33</v>
      </c>
      <c r="D162" s="15">
        <v>10899</v>
      </c>
      <c r="E162" s="15">
        <v>1021</v>
      </c>
      <c r="F162" s="15">
        <v>1053</v>
      </c>
      <c r="G162" s="15">
        <v>1052</v>
      </c>
      <c r="H162" s="15">
        <v>103</v>
      </c>
      <c r="I162" s="15">
        <v>103</v>
      </c>
      <c r="J162" s="15">
        <v>0</v>
      </c>
      <c r="K162" s="15" t="s">
        <v>235</v>
      </c>
      <c r="L162" s="15">
        <v>0.5</v>
      </c>
      <c r="M162" s="15" t="s">
        <v>649</v>
      </c>
      <c r="N162" s="15" t="s">
        <v>235</v>
      </c>
      <c r="O162" s="15">
        <v>38</v>
      </c>
      <c r="P162" s="15">
        <v>70</v>
      </c>
      <c r="Q162" s="15" t="s">
        <v>235</v>
      </c>
      <c r="R162" s="15" t="s">
        <v>235</v>
      </c>
      <c r="S162" s="15" t="s">
        <v>235</v>
      </c>
      <c r="T162" s="15" t="s">
        <v>235</v>
      </c>
      <c r="U162" s="15">
        <v>1</v>
      </c>
      <c r="V162" s="15" t="s">
        <v>235</v>
      </c>
      <c r="W162" s="15">
        <v>1</v>
      </c>
      <c r="X162" s="15">
        <v>8</v>
      </c>
      <c r="Y162" s="15">
        <v>1016</v>
      </c>
      <c r="Z162" s="15">
        <v>1022</v>
      </c>
      <c r="AA162" s="15" t="s">
        <v>235</v>
      </c>
      <c r="AB162" s="15" t="s">
        <v>545</v>
      </c>
    </row>
    <row r="163" spans="1:28">
      <c r="A163" s="15" t="s">
        <v>546</v>
      </c>
      <c r="B163" s="166" t="str">
        <f t="shared" si="2"/>
        <v>390</v>
      </c>
      <c r="C163" s="15">
        <v>33</v>
      </c>
      <c r="D163" s="15">
        <v>10899</v>
      </c>
      <c r="E163" s="15">
        <v>1021</v>
      </c>
      <c r="F163" s="15">
        <v>1053</v>
      </c>
      <c r="G163" s="15">
        <v>1052</v>
      </c>
      <c r="H163" s="15">
        <v>104</v>
      </c>
      <c r="I163" s="15">
        <v>104</v>
      </c>
      <c r="J163" s="15">
        <v>0</v>
      </c>
      <c r="K163" s="15" t="s">
        <v>235</v>
      </c>
      <c r="L163" s="15">
        <v>0.5</v>
      </c>
      <c r="M163" s="15" t="s">
        <v>649</v>
      </c>
      <c r="N163" s="15" t="s">
        <v>235</v>
      </c>
      <c r="O163" s="15">
        <v>38</v>
      </c>
      <c r="P163" s="15">
        <v>70</v>
      </c>
      <c r="Q163" s="15" t="s">
        <v>235</v>
      </c>
      <c r="R163" s="15" t="s">
        <v>235</v>
      </c>
      <c r="S163" s="15" t="s">
        <v>235</v>
      </c>
      <c r="T163" s="15" t="s">
        <v>235</v>
      </c>
      <c r="U163" s="15">
        <v>1</v>
      </c>
      <c r="V163" s="15" t="s">
        <v>235</v>
      </c>
      <c r="W163" s="15">
        <v>1</v>
      </c>
      <c r="X163" s="15">
        <v>8</v>
      </c>
      <c r="Y163" s="15">
        <v>1016</v>
      </c>
      <c r="Z163" s="15">
        <v>1022</v>
      </c>
      <c r="AA163" s="15" t="s">
        <v>235</v>
      </c>
      <c r="AB163" s="15" t="s">
        <v>546</v>
      </c>
    </row>
    <row r="164" spans="1:28">
      <c r="A164" s="15" t="s">
        <v>547</v>
      </c>
      <c r="B164" s="166" t="str">
        <f t="shared" si="2"/>
        <v>390</v>
      </c>
      <c r="C164" s="15">
        <v>33</v>
      </c>
      <c r="D164" s="15">
        <v>10899</v>
      </c>
      <c r="E164" s="15">
        <v>1021</v>
      </c>
      <c r="F164" s="15">
        <v>1053</v>
      </c>
      <c r="G164" s="15">
        <v>1052</v>
      </c>
      <c r="H164" s="15">
        <v>105</v>
      </c>
      <c r="I164" s="15">
        <v>105</v>
      </c>
      <c r="J164" s="15">
        <v>0</v>
      </c>
      <c r="K164" s="15" t="s">
        <v>235</v>
      </c>
      <c r="L164" s="15">
        <v>0.5</v>
      </c>
      <c r="M164" s="15" t="s">
        <v>649</v>
      </c>
      <c r="N164" s="15" t="s">
        <v>235</v>
      </c>
      <c r="O164" s="15">
        <v>38</v>
      </c>
      <c r="P164" s="15">
        <v>70</v>
      </c>
      <c r="Q164" s="15" t="s">
        <v>235</v>
      </c>
      <c r="R164" s="15" t="s">
        <v>235</v>
      </c>
      <c r="S164" s="15" t="s">
        <v>235</v>
      </c>
      <c r="T164" s="15" t="s">
        <v>235</v>
      </c>
      <c r="U164" s="15">
        <v>1</v>
      </c>
      <c r="V164" s="15" t="s">
        <v>235</v>
      </c>
      <c r="W164" s="15">
        <v>1</v>
      </c>
      <c r="X164" s="15">
        <v>8</v>
      </c>
      <c r="Y164" s="15">
        <v>1016</v>
      </c>
      <c r="Z164" s="15">
        <v>1022</v>
      </c>
      <c r="AA164" s="15" t="s">
        <v>235</v>
      </c>
      <c r="AB164" s="15" t="s">
        <v>547</v>
      </c>
    </row>
    <row r="165" spans="1:28">
      <c r="A165" s="15" t="s">
        <v>548</v>
      </c>
      <c r="B165" s="166" t="str">
        <f t="shared" si="2"/>
        <v>390</v>
      </c>
      <c r="C165" s="15">
        <v>33</v>
      </c>
      <c r="D165" s="15">
        <v>10899</v>
      </c>
      <c r="E165" s="15">
        <v>1021</v>
      </c>
      <c r="F165" s="15">
        <v>1053</v>
      </c>
      <c r="G165" s="15">
        <v>1052</v>
      </c>
      <c r="H165" s="15">
        <v>10049</v>
      </c>
      <c r="I165" s="15">
        <v>5357174</v>
      </c>
      <c r="J165" s="15">
        <v>0</v>
      </c>
      <c r="K165" s="15" t="s">
        <v>235</v>
      </c>
      <c r="L165" s="15">
        <v>0.5</v>
      </c>
      <c r="M165" s="15" t="s">
        <v>649</v>
      </c>
      <c r="N165" s="15" t="s">
        <v>235</v>
      </c>
      <c r="O165" s="15">
        <v>38</v>
      </c>
      <c r="P165" s="15">
        <v>70</v>
      </c>
      <c r="Q165" s="15" t="s">
        <v>235</v>
      </c>
      <c r="R165" s="15" t="s">
        <v>235</v>
      </c>
      <c r="S165" s="15" t="s">
        <v>235</v>
      </c>
      <c r="T165" s="15" t="s">
        <v>235</v>
      </c>
      <c r="U165" s="15">
        <v>1</v>
      </c>
      <c r="V165" s="15" t="s">
        <v>235</v>
      </c>
      <c r="W165" s="15">
        <v>1</v>
      </c>
      <c r="X165" s="15">
        <v>8</v>
      </c>
      <c r="Y165" s="15">
        <v>1016</v>
      </c>
      <c r="Z165" s="15">
        <v>1022</v>
      </c>
      <c r="AA165" s="15" t="s">
        <v>235</v>
      </c>
      <c r="AB165" s="15" t="s">
        <v>548</v>
      </c>
    </row>
    <row r="166" spans="1:28">
      <c r="A166" s="15" t="s">
        <v>549</v>
      </c>
      <c r="B166" s="166" t="str">
        <f t="shared" si="2"/>
        <v>390</v>
      </c>
      <c r="C166" s="15">
        <v>33</v>
      </c>
      <c r="D166" s="15">
        <v>10899</v>
      </c>
      <c r="E166" s="15">
        <v>1021</v>
      </c>
      <c r="F166" s="15">
        <v>1053</v>
      </c>
      <c r="G166" s="15">
        <v>1052</v>
      </c>
      <c r="H166" s="15">
        <v>106</v>
      </c>
      <c r="I166" s="15">
        <v>106</v>
      </c>
      <c r="J166" s="15">
        <v>0</v>
      </c>
      <c r="K166" s="15" t="s">
        <v>235</v>
      </c>
      <c r="L166" s="15">
        <v>0.5</v>
      </c>
      <c r="M166" s="15" t="s">
        <v>649</v>
      </c>
      <c r="N166" s="15" t="s">
        <v>235</v>
      </c>
      <c r="O166" s="15">
        <v>38</v>
      </c>
      <c r="P166" s="15">
        <v>70</v>
      </c>
      <c r="Q166" s="15" t="s">
        <v>235</v>
      </c>
      <c r="R166" s="15" t="s">
        <v>235</v>
      </c>
      <c r="S166" s="15" t="s">
        <v>235</v>
      </c>
      <c r="T166" s="15" t="s">
        <v>235</v>
      </c>
      <c r="U166" s="15">
        <v>1</v>
      </c>
      <c r="V166" s="15" t="s">
        <v>235</v>
      </c>
      <c r="W166" s="15">
        <v>1</v>
      </c>
      <c r="X166" s="15">
        <v>8</v>
      </c>
      <c r="Y166" s="15">
        <v>1016</v>
      </c>
      <c r="Z166" s="15">
        <v>1022</v>
      </c>
      <c r="AA166" s="15" t="s">
        <v>235</v>
      </c>
      <c r="AB166" s="15" t="s">
        <v>549</v>
      </c>
    </row>
    <row r="167" spans="1:28">
      <c r="A167" s="15" t="s">
        <v>550</v>
      </c>
      <c r="B167" s="166" t="str">
        <f t="shared" si="2"/>
        <v>390</v>
      </c>
      <c r="C167" s="15">
        <v>33</v>
      </c>
      <c r="D167" s="15">
        <v>10899</v>
      </c>
      <c r="E167" s="15">
        <v>1021</v>
      </c>
      <c r="F167" s="15">
        <v>1053</v>
      </c>
      <c r="G167" s="15">
        <v>1052</v>
      </c>
      <c r="H167" s="15">
        <v>107</v>
      </c>
      <c r="I167" s="15">
        <v>107</v>
      </c>
      <c r="J167" s="15">
        <v>0</v>
      </c>
      <c r="K167" s="15" t="s">
        <v>235</v>
      </c>
      <c r="L167" s="15">
        <v>0.5</v>
      </c>
      <c r="M167" s="15" t="s">
        <v>649</v>
      </c>
      <c r="N167" s="15" t="s">
        <v>235</v>
      </c>
      <c r="O167" s="15">
        <v>38</v>
      </c>
      <c r="P167" s="15">
        <v>70</v>
      </c>
      <c r="Q167" s="15" t="s">
        <v>235</v>
      </c>
      <c r="R167" s="15" t="s">
        <v>235</v>
      </c>
      <c r="S167" s="15" t="s">
        <v>235</v>
      </c>
      <c r="T167" s="15" t="s">
        <v>235</v>
      </c>
      <c r="U167" s="15">
        <v>1</v>
      </c>
      <c r="V167" s="15" t="s">
        <v>235</v>
      </c>
      <c r="W167" s="15">
        <v>1</v>
      </c>
      <c r="X167" s="15">
        <v>8</v>
      </c>
      <c r="Y167" s="15">
        <v>1016</v>
      </c>
      <c r="Z167" s="15">
        <v>1022</v>
      </c>
      <c r="AA167" s="15" t="s">
        <v>235</v>
      </c>
      <c r="AB167" s="15" t="s">
        <v>550</v>
      </c>
    </row>
    <row r="168" spans="1:28">
      <c r="A168" s="15" t="s">
        <v>551</v>
      </c>
      <c r="B168" s="166" t="str">
        <f t="shared" si="2"/>
        <v>390</v>
      </c>
      <c r="C168" s="15">
        <v>33</v>
      </c>
      <c r="D168" s="15">
        <v>10899</v>
      </c>
      <c r="E168" s="15">
        <v>1021</v>
      </c>
      <c r="F168" s="15">
        <v>1053</v>
      </c>
      <c r="G168" s="15">
        <v>1052</v>
      </c>
      <c r="H168" s="15">
        <v>108</v>
      </c>
      <c r="I168" s="15">
        <v>108</v>
      </c>
      <c r="J168" s="15">
        <v>0</v>
      </c>
      <c r="K168" s="15" t="s">
        <v>235</v>
      </c>
      <c r="L168" s="15">
        <v>0.5</v>
      </c>
      <c r="M168" s="15" t="s">
        <v>649</v>
      </c>
      <c r="N168" s="15" t="s">
        <v>235</v>
      </c>
      <c r="O168" s="15">
        <v>38</v>
      </c>
      <c r="P168" s="15">
        <v>70</v>
      </c>
      <c r="Q168" s="15" t="s">
        <v>235</v>
      </c>
      <c r="R168" s="15" t="s">
        <v>235</v>
      </c>
      <c r="S168" s="15" t="s">
        <v>235</v>
      </c>
      <c r="T168" s="15" t="s">
        <v>235</v>
      </c>
      <c r="U168" s="15">
        <v>1</v>
      </c>
      <c r="V168" s="15" t="s">
        <v>235</v>
      </c>
      <c r="W168" s="15">
        <v>1</v>
      </c>
      <c r="X168" s="15">
        <v>8</v>
      </c>
      <c r="Y168" s="15">
        <v>1016</v>
      </c>
      <c r="Z168" s="15">
        <v>1022</v>
      </c>
      <c r="AA168" s="15" t="s">
        <v>235</v>
      </c>
      <c r="AB168" s="15" t="s">
        <v>551</v>
      </c>
    </row>
    <row r="169" spans="1:28">
      <c r="A169" s="15" t="s">
        <v>552</v>
      </c>
      <c r="B169" s="166" t="str">
        <f t="shared" si="2"/>
        <v>390</v>
      </c>
      <c r="C169" s="15">
        <v>33</v>
      </c>
      <c r="D169" s="15">
        <v>10899</v>
      </c>
      <c r="E169" s="15">
        <v>1021</v>
      </c>
      <c r="F169" s="15">
        <v>1053</v>
      </c>
      <c r="G169" s="15">
        <v>1052</v>
      </c>
      <c r="H169" s="15">
        <v>109</v>
      </c>
      <c r="I169" s="15">
        <v>109</v>
      </c>
      <c r="J169" s="15">
        <v>0</v>
      </c>
      <c r="K169" s="15" t="s">
        <v>235</v>
      </c>
      <c r="L169" s="15">
        <v>0.5</v>
      </c>
      <c r="M169" s="15" t="s">
        <v>649</v>
      </c>
      <c r="N169" s="15" t="s">
        <v>235</v>
      </c>
      <c r="O169" s="15">
        <v>38</v>
      </c>
      <c r="P169" s="15">
        <v>70</v>
      </c>
      <c r="Q169" s="15" t="s">
        <v>235</v>
      </c>
      <c r="R169" s="15" t="s">
        <v>235</v>
      </c>
      <c r="S169" s="15" t="s">
        <v>235</v>
      </c>
      <c r="T169" s="15" t="s">
        <v>235</v>
      </c>
      <c r="U169" s="15">
        <v>1</v>
      </c>
      <c r="V169" s="15" t="s">
        <v>235</v>
      </c>
      <c r="W169" s="15">
        <v>1</v>
      </c>
      <c r="X169" s="15">
        <v>8</v>
      </c>
      <c r="Y169" s="15">
        <v>1016</v>
      </c>
      <c r="Z169" s="15">
        <v>1022</v>
      </c>
      <c r="AA169" s="15" t="s">
        <v>235</v>
      </c>
      <c r="AB169" s="15" t="s">
        <v>552</v>
      </c>
    </row>
    <row r="170" spans="1:28">
      <c r="A170" s="15" t="s">
        <v>553</v>
      </c>
      <c r="B170" s="166" t="str">
        <f t="shared" si="2"/>
        <v>390</v>
      </c>
      <c r="C170" s="15">
        <v>33</v>
      </c>
      <c r="D170" s="15">
        <v>10899</v>
      </c>
      <c r="E170" s="15">
        <v>1021</v>
      </c>
      <c r="F170" s="15">
        <v>1053</v>
      </c>
      <c r="G170" s="15">
        <v>1052</v>
      </c>
      <c r="H170" s="15">
        <v>10054</v>
      </c>
      <c r="I170" s="15">
        <v>5536405</v>
      </c>
      <c r="J170" s="15">
        <v>0</v>
      </c>
      <c r="K170" s="15" t="s">
        <v>235</v>
      </c>
      <c r="L170" s="15">
        <v>0.5</v>
      </c>
      <c r="M170" s="15" t="s">
        <v>649</v>
      </c>
      <c r="N170" s="15" t="s">
        <v>235</v>
      </c>
      <c r="O170" s="15">
        <v>38</v>
      </c>
      <c r="P170" s="15">
        <v>70</v>
      </c>
      <c r="Q170" s="15" t="s">
        <v>235</v>
      </c>
      <c r="R170" s="15" t="s">
        <v>235</v>
      </c>
      <c r="S170" s="15" t="s">
        <v>235</v>
      </c>
      <c r="T170" s="15" t="s">
        <v>235</v>
      </c>
      <c r="U170" s="15">
        <v>1</v>
      </c>
      <c r="V170" s="15" t="s">
        <v>235</v>
      </c>
      <c r="W170" s="15">
        <v>1</v>
      </c>
      <c r="X170" s="15">
        <v>8</v>
      </c>
      <c r="Y170" s="15">
        <v>1016</v>
      </c>
      <c r="Z170" s="15">
        <v>1022</v>
      </c>
      <c r="AA170" s="15" t="s">
        <v>235</v>
      </c>
      <c r="AB170" s="15" t="s">
        <v>549</v>
      </c>
    </row>
    <row r="171" spans="1:28">
      <c r="A171" s="15" t="s">
        <v>554</v>
      </c>
      <c r="B171" s="166" t="str">
        <f t="shared" si="2"/>
        <v>390</v>
      </c>
      <c r="C171" s="15">
        <v>33</v>
      </c>
      <c r="D171" s="15">
        <v>10899</v>
      </c>
      <c r="E171" s="15">
        <v>1021</v>
      </c>
      <c r="F171" s="15">
        <v>1053</v>
      </c>
      <c r="G171" s="15">
        <v>1052</v>
      </c>
      <c r="H171" s="15">
        <v>110</v>
      </c>
      <c r="I171" s="15">
        <v>110</v>
      </c>
      <c r="J171" s="15">
        <v>0</v>
      </c>
      <c r="K171" s="15" t="s">
        <v>235</v>
      </c>
      <c r="L171" s="15">
        <v>0.5</v>
      </c>
      <c r="M171" s="15" t="s">
        <v>649</v>
      </c>
      <c r="N171" s="15" t="s">
        <v>235</v>
      </c>
      <c r="O171" s="15">
        <v>38</v>
      </c>
      <c r="P171" s="15">
        <v>70</v>
      </c>
      <c r="Q171" s="15" t="s">
        <v>235</v>
      </c>
      <c r="R171" s="15" t="s">
        <v>235</v>
      </c>
      <c r="S171" s="15" t="s">
        <v>235</v>
      </c>
      <c r="T171" s="15" t="s">
        <v>235</v>
      </c>
      <c r="U171" s="15">
        <v>1</v>
      </c>
      <c r="V171" s="15" t="s">
        <v>235</v>
      </c>
      <c r="W171" s="15">
        <v>1</v>
      </c>
      <c r="X171" s="15">
        <v>8</v>
      </c>
      <c r="Y171" s="15">
        <v>1016</v>
      </c>
      <c r="Z171" s="15">
        <v>1022</v>
      </c>
      <c r="AA171" s="15" t="s">
        <v>235</v>
      </c>
      <c r="AB171" s="15" t="s">
        <v>554</v>
      </c>
    </row>
    <row r="172" spans="1:28">
      <c r="A172" s="15" t="s">
        <v>555</v>
      </c>
      <c r="B172" s="166" t="str">
        <f t="shared" si="2"/>
        <v>390</v>
      </c>
      <c r="C172" s="15">
        <v>33</v>
      </c>
      <c r="D172" s="15">
        <v>10899</v>
      </c>
      <c r="E172" s="15">
        <v>1021</v>
      </c>
      <c r="F172" s="15">
        <v>1053</v>
      </c>
      <c r="G172" s="15">
        <v>1052</v>
      </c>
      <c r="H172" s="15">
        <v>10055</v>
      </c>
      <c r="I172" s="15">
        <v>5536440</v>
      </c>
      <c r="J172" s="15">
        <v>0</v>
      </c>
      <c r="K172" s="15" t="s">
        <v>235</v>
      </c>
      <c r="L172" s="15">
        <v>0.5</v>
      </c>
      <c r="M172" s="15" t="s">
        <v>649</v>
      </c>
      <c r="N172" s="15" t="s">
        <v>235</v>
      </c>
      <c r="O172" s="15">
        <v>38</v>
      </c>
      <c r="P172" s="15">
        <v>70</v>
      </c>
      <c r="Q172" s="15" t="s">
        <v>235</v>
      </c>
      <c r="R172" s="15" t="s">
        <v>235</v>
      </c>
      <c r="S172" s="15" t="s">
        <v>235</v>
      </c>
      <c r="T172" s="15" t="s">
        <v>235</v>
      </c>
      <c r="U172" s="15">
        <v>1</v>
      </c>
      <c r="V172" s="15" t="s">
        <v>235</v>
      </c>
      <c r="W172" s="15">
        <v>1</v>
      </c>
      <c r="X172" s="15">
        <v>8</v>
      </c>
      <c r="Y172" s="15">
        <v>1016</v>
      </c>
      <c r="Z172" s="15">
        <v>1022</v>
      </c>
      <c r="AA172" s="15" t="s">
        <v>235</v>
      </c>
      <c r="AB172" s="15" t="s">
        <v>549</v>
      </c>
    </row>
    <row r="173" spans="1:28">
      <c r="A173" s="15" t="s">
        <v>556</v>
      </c>
      <c r="B173" s="166" t="str">
        <f t="shared" si="2"/>
        <v>390</v>
      </c>
      <c r="C173" s="15">
        <v>33</v>
      </c>
      <c r="D173" s="15">
        <v>10899</v>
      </c>
      <c r="E173" s="15">
        <v>1021</v>
      </c>
      <c r="F173" s="15">
        <v>1053</v>
      </c>
      <c r="G173" s="15">
        <v>1052</v>
      </c>
      <c r="H173" s="15">
        <v>111</v>
      </c>
      <c r="I173" s="15">
        <v>111</v>
      </c>
      <c r="J173" s="15">
        <v>0</v>
      </c>
      <c r="K173" s="15" t="s">
        <v>235</v>
      </c>
      <c r="L173" s="15">
        <v>0.5</v>
      </c>
      <c r="M173" s="15" t="s">
        <v>649</v>
      </c>
      <c r="N173" s="15" t="s">
        <v>235</v>
      </c>
      <c r="O173" s="15">
        <v>38</v>
      </c>
      <c r="P173" s="15">
        <v>70</v>
      </c>
      <c r="Q173" s="15" t="s">
        <v>235</v>
      </c>
      <c r="R173" s="15" t="s">
        <v>235</v>
      </c>
      <c r="S173" s="15" t="s">
        <v>235</v>
      </c>
      <c r="T173" s="15" t="s">
        <v>235</v>
      </c>
      <c r="U173" s="15">
        <v>1</v>
      </c>
      <c r="V173" s="15" t="s">
        <v>235</v>
      </c>
      <c r="W173" s="15">
        <v>1</v>
      </c>
      <c r="X173" s="15">
        <v>8</v>
      </c>
      <c r="Y173" s="15">
        <v>1016</v>
      </c>
      <c r="Z173" s="15">
        <v>1022</v>
      </c>
      <c r="AA173" s="15" t="s">
        <v>235</v>
      </c>
      <c r="AB173" s="15" t="s">
        <v>556</v>
      </c>
    </row>
    <row r="174" spans="1:28">
      <c r="A174" s="15" t="s">
        <v>557</v>
      </c>
      <c r="B174" s="166" t="str">
        <f t="shared" si="2"/>
        <v>390</v>
      </c>
      <c r="C174" s="15">
        <v>33</v>
      </c>
      <c r="D174" s="15">
        <v>10899</v>
      </c>
      <c r="E174" s="15">
        <v>1021</v>
      </c>
      <c r="F174" s="15">
        <v>1053</v>
      </c>
      <c r="G174" s="15">
        <v>1052</v>
      </c>
      <c r="H174" s="15">
        <v>112</v>
      </c>
      <c r="I174" s="15">
        <v>112</v>
      </c>
      <c r="J174" s="15">
        <v>0</v>
      </c>
      <c r="K174" s="15" t="s">
        <v>235</v>
      </c>
      <c r="L174" s="15">
        <v>0.5</v>
      </c>
      <c r="M174" s="15" t="s">
        <v>649</v>
      </c>
      <c r="N174" s="15" t="s">
        <v>235</v>
      </c>
      <c r="O174" s="15">
        <v>38</v>
      </c>
      <c r="P174" s="15">
        <v>70</v>
      </c>
      <c r="Q174" s="15" t="s">
        <v>235</v>
      </c>
      <c r="R174" s="15" t="s">
        <v>235</v>
      </c>
      <c r="S174" s="15" t="s">
        <v>235</v>
      </c>
      <c r="T174" s="15" t="s">
        <v>235</v>
      </c>
      <c r="U174" s="15">
        <v>1</v>
      </c>
      <c r="V174" s="15" t="s">
        <v>235</v>
      </c>
      <c r="W174" s="15">
        <v>1</v>
      </c>
      <c r="X174" s="15">
        <v>8</v>
      </c>
      <c r="Y174" s="15">
        <v>1016</v>
      </c>
      <c r="Z174" s="15">
        <v>1022</v>
      </c>
      <c r="AA174" s="15" t="s">
        <v>235</v>
      </c>
      <c r="AB174" s="15" t="s">
        <v>557</v>
      </c>
    </row>
    <row r="175" spans="1:28">
      <c r="A175" s="15" t="s">
        <v>558</v>
      </c>
      <c r="B175" s="166" t="str">
        <f t="shared" si="2"/>
        <v>390</v>
      </c>
      <c r="C175" s="15">
        <v>33</v>
      </c>
      <c r="D175" s="15">
        <v>10899</v>
      </c>
      <c r="E175" s="15">
        <v>1021</v>
      </c>
      <c r="F175" s="15">
        <v>1053</v>
      </c>
      <c r="G175" s="15">
        <v>1052</v>
      </c>
      <c r="H175" s="15">
        <v>10127</v>
      </c>
      <c r="I175" s="15">
        <v>8068075</v>
      </c>
      <c r="J175" s="15">
        <v>0</v>
      </c>
      <c r="K175" s="15" t="s">
        <v>235</v>
      </c>
      <c r="L175" s="15">
        <v>0.5</v>
      </c>
      <c r="M175" s="15" t="s">
        <v>649</v>
      </c>
      <c r="N175" s="15" t="s">
        <v>235</v>
      </c>
      <c r="O175" s="15">
        <v>38</v>
      </c>
      <c r="P175" s="15">
        <v>70</v>
      </c>
      <c r="Q175" s="15" t="s">
        <v>235</v>
      </c>
      <c r="R175" s="15" t="s">
        <v>235</v>
      </c>
      <c r="S175" s="15" t="s">
        <v>235</v>
      </c>
      <c r="T175" s="15" t="s">
        <v>235</v>
      </c>
      <c r="U175" s="15">
        <v>1</v>
      </c>
      <c r="V175" s="15" t="s">
        <v>235</v>
      </c>
      <c r="W175" s="15">
        <v>1</v>
      </c>
      <c r="X175" s="15">
        <v>8</v>
      </c>
      <c r="Y175" s="15">
        <v>1016</v>
      </c>
      <c r="Z175" s="15">
        <v>1022</v>
      </c>
      <c r="AA175" s="15" t="s">
        <v>235</v>
      </c>
      <c r="AB175" s="15" t="s">
        <v>558</v>
      </c>
    </row>
    <row r="176" spans="1:28">
      <c r="A176" s="15" t="s">
        <v>559</v>
      </c>
      <c r="B176" s="166" t="str">
        <f t="shared" si="2"/>
        <v>390</v>
      </c>
      <c r="C176" s="15">
        <v>33</v>
      </c>
      <c r="D176" s="15">
        <v>10899</v>
      </c>
      <c r="E176" s="15">
        <v>1021</v>
      </c>
      <c r="F176" s="15">
        <v>1053</v>
      </c>
      <c r="G176" s="15">
        <v>1052</v>
      </c>
      <c r="H176" s="15">
        <v>10056</v>
      </c>
      <c r="I176" s="15">
        <v>5536501</v>
      </c>
      <c r="J176" s="15">
        <v>0</v>
      </c>
      <c r="K176" s="15" t="s">
        <v>235</v>
      </c>
      <c r="L176" s="15">
        <v>0.5</v>
      </c>
      <c r="M176" s="15" t="s">
        <v>649</v>
      </c>
      <c r="N176" s="15" t="s">
        <v>235</v>
      </c>
      <c r="O176" s="15">
        <v>38</v>
      </c>
      <c r="P176" s="15">
        <v>70</v>
      </c>
      <c r="Q176" s="15" t="s">
        <v>235</v>
      </c>
      <c r="R176" s="15" t="s">
        <v>235</v>
      </c>
      <c r="S176" s="15" t="s">
        <v>235</v>
      </c>
      <c r="T176" s="15" t="s">
        <v>235</v>
      </c>
      <c r="U176" s="15">
        <v>1</v>
      </c>
      <c r="V176" s="15" t="s">
        <v>235</v>
      </c>
      <c r="W176" s="15">
        <v>1</v>
      </c>
      <c r="X176" s="15">
        <v>8</v>
      </c>
      <c r="Y176" s="15">
        <v>1016</v>
      </c>
      <c r="Z176" s="15">
        <v>1022</v>
      </c>
      <c r="AA176" s="15" t="s">
        <v>235</v>
      </c>
      <c r="AB176" s="15" t="s">
        <v>549</v>
      </c>
    </row>
    <row r="177" spans="1:28">
      <c r="A177" s="15" t="s">
        <v>560</v>
      </c>
      <c r="B177" s="166" t="str">
        <f t="shared" si="2"/>
        <v>390</v>
      </c>
      <c r="C177" s="15">
        <v>33</v>
      </c>
      <c r="D177" s="15">
        <v>10899</v>
      </c>
      <c r="E177" s="15">
        <v>1021</v>
      </c>
      <c r="F177" s="15">
        <v>1053</v>
      </c>
      <c r="G177" s="15">
        <v>1052</v>
      </c>
      <c r="H177" s="15">
        <v>113</v>
      </c>
      <c r="I177" s="15">
        <v>113</v>
      </c>
      <c r="J177" s="15">
        <v>0</v>
      </c>
      <c r="K177" s="15" t="s">
        <v>235</v>
      </c>
      <c r="L177" s="15">
        <v>0.5</v>
      </c>
      <c r="M177" s="15" t="s">
        <v>649</v>
      </c>
      <c r="N177" s="15" t="s">
        <v>235</v>
      </c>
      <c r="O177" s="15">
        <v>38</v>
      </c>
      <c r="P177" s="15">
        <v>70</v>
      </c>
      <c r="Q177" s="15" t="s">
        <v>235</v>
      </c>
      <c r="R177" s="15" t="s">
        <v>235</v>
      </c>
      <c r="S177" s="15" t="s">
        <v>235</v>
      </c>
      <c r="T177" s="15" t="s">
        <v>235</v>
      </c>
      <c r="U177" s="15">
        <v>1</v>
      </c>
      <c r="V177" s="15" t="s">
        <v>235</v>
      </c>
      <c r="W177" s="15">
        <v>1</v>
      </c>
      <c r="X177" s="15">
        <v>8</v>
      </c>
      <c r="Y177" s="15">
        <v>1016</v>
      </c>
      <c r="Z177" s="15">
        <v>1022</v>
      </c>
      <c r="AA177" s="15" t="s">
        <v>235</v>
      </c>
      <c r="AB177" s="15" t="s">
        <v>560</v>
      </c>
    </row>
    <row r="178" spans="1:28">
      <c r="A178" s="15" t="s">
        <v>561</v>
      </c>
      <c r="B178" s="166" t="str">
        <f t="shared" si="2"/>
        <v>390</v>
      </c>
      <c r="C178" s="15">
        <v>33</v>
      </c>
      <c r="D178" s="15">
        <v>10899</v>
      </c>
      <c r="E178" s="15">
        <v>1021</v>
      </c>
      <c r="F178" s="15">
        <v>1053</v>
      </c>
      <c r="G178" s="15">
        <v>1052</v>
      </c>
      <c r="H178" s="15">
        <v>114</v>
      </c>
      <c r="I178" s="15">
        <v>114</v>
      </c>
      <c r="J178" s="15">
        <v>0</v>
      </c>
      <c r="K178" s="15" t="s">
        <v>235</v>
      </c>
      <c r="L178" s="15">
        <v>0.5</v>
      </c>
      <c r="M178" s="15" t="s">
        <v>649</v>
      </c>
      <c r="N178" s="15" t="s">
        <v>235</v>
      </c>
      <c r="O178" s="15">
        <v>38</v>
      </c>
      <c r="P178" s="15">
        <v>70</v>
      </c>
      <c r="Q178" s="15" t="s">
        <v>235</v>
      </c>
      <c r="R178" s="15" t="s">
        <v>235</v>
      </c>
      <c r="S178" s="15" t="s">
        <v>235</v>
      </c>
      <c r="T178" s="15" t="s">
        <v>235</v>
      </c>
      <c r="U178" s="15">
        <v>1</v>
      </c>
      <c r="V178" s="15" t="s">
        <v>235</v>
      </c>
      <c r="W178" s="15">
        <v>1</v>
      </c>
      <c r="X178" s="15">
        <v>8</v>
      </c>
      <c r="Y178" s="15">
        <v>1016</v>
      </c>
      <c r="Z178" s="15">
        <v>1022</v>
      </c>
      <c r="AA178" s="15" t="s">
        <v>235</v>
      </c>
      <c r="AB178" s="15" t="s">
        <v>561</v>
      </c>
    </row>
    <row r="179" spans="1:28">
      <c r="A179" s="15" t="s">
        <v>562</v>
      </c>
      <c r="B179" s="166" t="str">
        <f t="shared" si="2"/>
        <v>390</v>
      </c>
      <c r="C179" s="15">
        <v>33</v>
      </c>
      <c r="D179" s="15">
        <v>10899</v>
      </c>
      <c r="E179" s="15">
        <v>1021</v>
      </c>
      <c r="F179" s="15">
        <v>1053</v>
      </c>
      <c r="G179" s="15">
        <v>1052</v>
      </c>
      <c r="H179" s="15">
        <v>115</v>
      </c>
      <c r="I179" s="15">
        <v>115</v>
      </c>
      <c r="J179" s="15">
        <v>0</v>
      </c>
      <c r="K179" s="15" t="s">
        <v>235</v>
      </c>
      <c r="L179" s="15">
        <v>0.5</v>
      </c>
      <c r="M179" s="15" t="s">
        <v>649</v>
      </c>
      <c r="N179" s="15" t="s">
        <v>235</v>
      </c>
      <c r="O179" s="15">
        <v>38</v>
      </c>
      <c r="P179" s="15">
        <v>70</v>
      </c>
      <c r="Q179" s="15" t="s">
        <v>235</v>
      </c>
      <c r="R179" s="15" t="s">
        <v>235</v>
      </c>
      <c r="S179" s="15" t="s">
        <v>235</v>
      </c>
      <c r="T179" s="15" t="s">
        <v>235</v>
      </c>
      <c r="U179" s="15">
        <v>1</v>
      </c>
      <c r="V179" s="15" t="s">
        <v>235</v>
      </c>
      <c r="W179" s="15">
        <v>1</v>
      </c>
      <c r="X179" s="15">
        <v>8</v>
      </c>
      <c r="Y179" s="15">
        <v>1016</v>
      </c>
      <c r="Z179" s="15">
        <v>1022</v>
      </c>
      <c r="AA179" s="15" t="s">
        <v>235</v>
      </c>
      <c r="AB179" s="15" t="s">
        <v>562</v>
      </c>
    </row>
    <row r="180" spans="1:28">
      <c r="A180" s="15" t="s">
        <v>563</v>
      </c>
      <c r="B180" s="166" t="str">
        <f t="shared" si="2"/>
        <v>390</v>
      </c>
      <c r="C180" s="15">
        <v>33</v>
      </c>
      <c r="D180" s="15">
        <v>10899</v>
      </c>
      <c r="E180" s="15">
        <v>1021</v>
      </c>
      <c r="F180" s="15">
        <v>1053</v>
      </c>
      <c r="G180" s="15">
        <v>1052</v>
      </c>
      <c r="H180" s="15">
        <v>116</v>
      </c>
      <c r="I180" s="15">
        <v>116</v>
      </c>
      <c r="J180" s="15">
        <v>0</v>
      </c>
      <c r="K180" s="15" t="s">
        <v>235</v>
      </c>
      <c r="L180" s="15">
        <v>0.5</v>
      </c>
      <c r="M180" s="15" t="s">
        <v>649</v>
      </c>
      <c r="N180" s="15" t="s">
        <v>235</v>
      </c>
      <c r="O180" s="15">
        <v>38</v>
      </c>
      <c r="P180" s="15">
        <v>70</v>
      </c>
      <c r="Q180" s="15" t="s">
        <v>235</v>
      </c>
      <c r="R180" s="15" t="s">
        <v>235</v>
      </c>
      <c r="S180" s="15" t="s">
        <v>235</v>
      </c>
      <c r="T180" s="15" t="s">
        <v>235</v>
      </c>
      <c r="U180" s="15">
        <v>1</v>
      </c>
      <c r="V180" s="15" t="s">
        <v>235</v>
      </c>
      <c r="W180" s="15">
        <v>1</v>
      </c>
      <c r="X180" s="15">
        <v>8</v>
      </c>
      <c r="Y180" s="15">
        <v>1016</v>
      </c>
      <c r="Z180" s="15">
        <v>1022</v>
      </c>
      <c r="AA180" s="15" t="s">
        <v>235</v>
      </c>
      <c r="AB180" s="15" t="s">
        <v>563</v>
      </c>
    </row>
    <row r="181" spans="1:28">
      <c r="A181" s="15" t="s">
        <v>564</v>
      </c>
      <c r="B181" s="166" t="str">
        <f t="shared" si="2"/>
        <v>390</v>
      </c>
      <c r="C181" s="15">
        <v>33</v>
      </c>
      <c r="D181" s="15">
        <v>10899</v>
      </c>
      <c r="E181" s="15">
        <v>1021</v>
      </c>
      <c r="F181" s="15">
        <v>1053</v>
      </c>
      <c r="G181" s="15">
        <v>1052</v>
      </c>
      <c r="H181" s="15">
        <v>10018</v>
      </c>
      <c r="I181" s="15">
        <v>5228604</v>
      </c>
      <c r="J181" s="15">
        <v>0</v>
      </c>
      <c r="K181" s="15" t="s">
        <v>235</v>
      </c>
      <c r="L181" s="15">
        <v>0.5</v>
      </c>
      <c r="M181" s="15" t="s">
        <v>649</v>
      </c>
      <c r="N181" s="15" t="s">
        <v>235</v>
      </c>
      <c r="O181" s="15">
        <v>38</v>
      </c>
      <c r="P181" s="15">
        <v>70</v>
      </c>
      <c r="Q181" s="15" t="s">
        <v>235</v>
      </c>
      <c r="R181" s="15" t="s">
        <v>235</v>
      </c>
      <c r="S181" s="15" t="s">
        <v>235</v>
      </c>
      <c r="T181" s="15" t="s">
        <v>235</v>
      </c>
      <c r="U181" s="15">
        <v>1</v>
      </c>
      <c r="V181" s="15" t="s">
        <v>235</v>
      </c>
      <c r="W181" s="15">
        <v>1</v>
      </c>
      <c r="X181" s="15">
        <v>8</v>
      </c>
      <c r="Y181" s="15">
        <v>1016</v>
      </c>
      <c r="Z181" s="15">
        <v>1022</v>
      </c>
      <c r="AA181" s="15" t="s">
        <v>235</v>
      </c>
      <c r="AB181" s="15" t="s">
        <v>564</v>
      </c>
    </row>
    <row r="182" spans="1:28">
      <c r="A182" s="15" t="s">
        <v>565</v>
      </c>
      <c r="B182" s="166" t="str">
        <f t="shared" si="2"/>
        <v>390</v>
      </c>
      <c r="C182" s="15">
        <v>33</v>
      </c>
      <c r="D182" s="15">
        <v>10899</v>
      </c>
      <c r="E182" s="15">
        <v>1021</v>
      </c>
      <c r="F182" s="15">
        <v>1053</v>
      </c>
      <c r="G182" s="15">
        <v>1052</v>
      </c>
      <c r="H182" s="15">
        <v>117</v>
      </c>
      <c r="I182" s="15">
        <v>117</v>
      </c>
      <c r="J182" s="15">
        <v>0</v>
      </c>
      <c r="K182" s="15" t="s">
        <v>235</v>
      </c>
      <c r="L182" s="15">
        <v>0.5</v>
      </c>
      <c r="M182" s="15" t="s">
        <v>649</v>
      </c>
      <c r="N182" s="15" t="s">
        <v>235</v>
      </c>
      <c r="O182" s="15">
        <v>38</v>
      </c>
      <c r="P182" s="15">
        <v>70</v>
      </c>
      <c r="Q182" s="15" t="s">
        <v>235</v>
      </c>
      <c r="R182" s="15" t="s">
        <v>235</v>
      </c>
      <c r="S182" s="15" t="s">
        <v>235</v>
      </c>
      <c r="T182" s="15" t="s">
        <v>235</v>
      </c>
      <c r="U182" s="15">
        <v>1</v>
      </c>
      <c r="V182" s="15" t="s">
        <v>235</v>
      </c>
      <c r="W182" s="15">
        <v>1</v>
      </c>
      <c r="X182" s="15">
        <v>8</v>
      </c>
      <c r="Y182" s="15">
        <v>1016</v>
      </c>
      <c r="Z182" s="15">
        <v>1022</v>
      </c>
      <c r="AA182" s="15" t="s">
        <v>235</v>
      </c>
      <c r="AB182" s="15" t="s">
        <v>565</v>
      </c>
    </row>
    <row r="183" spans="1:28">
      <c r="A183" s="15" t="s">
        <v>566</v>
      </c>
      <c r="B183" s="166" t="str">
        <f t="shared" si="2"/>
        <v>390</v>
      </c>
      <c r="C183" s="15">
        <v>33</v>
      </c>
      <c r="D183" s="15">
        <v>10899</v>
      </c>
      <c r="E183" s="15">
        <v>1021</v>
      </c>
      <c r="F183" s="15">
        <v>1053</v>
      </c>
      <c r="G183" s="15">
        <v>1052</v>
      </c>
      <c r="H183" s="15">
        <v>118</v>
      </c>
      <c r="I183" s="15">
        <v>118</v>
      </c>
      <c r="J183" s="15">
        <v>0</v>
      </c>
      <c r="K183" s="15" t="s">
        <v>235</v>
      </c>
      <c r="L183" s="15">
        <v>0.5</v>
      </c>
      <c r="M183" s="15" t="s">
        <v>649</v>
      </c>
      <c r="N183" s="15" t="s">
        <v>235</v>
      </c>
      <c r="O183" s="15">
        <v>38</v>
      </c>
      <c r="P183" s="15">
        <v>70</v>
      </c>
      <c r="Q183" s="15" t="s">
        <v>235</v>
      </c>
      <c r="R183" s="15" t="s">
        <v>235</v>
      </c>
      <c r="S183" s="15" t="s">
        <v>235</v>
      </c>
      <c r="T183" s="15" t="s">
        <v>235</v>
      </c>
      <c r="U183" s="15">
        <v>1</v>
      </c>
      <c r="V183" s="15" t="s">
        <v>235</v>
      </c>
      <c r="W183" s="15">
        <v>1</v>
      </c>
      <c r="X183" s="15">
        <v>8</v>
      </c>
      <c r="Y183" s="15">
        <v>1016</v>
      </c>
      <c r="Z183" s="15">
        <v>1022</v>
      </c>
      <c r="AA183" s="15" t="s">
        <v>235</v>
      </c>
      <c r="AB183" s="15" t="s">
        <v>566</v>
      </c>
    </row>
    <row r="184" spans="1:28">
      <c r="A184" s="15" t="s">
        <v>567</v>
      </c>
      <c r="B184" s="166" t="str">
        <f t="shared" si="2"/>
        <v>390</v>
      </c>
      <c r="C184" s="15">
        <v>33</v>
      </c>
      <c r="D184" s="15">
        <v>10899</v>
      </c>
      <c r="E184" s="15">
        <v>1021</v>
      </c>
      <c r="F184" s="15">
        <v>1053</v>
      </c>
      <c r="G184" s="15">
        <v>1052</v>
      </c>
      <c r="H184" s="15">
        <v>119</v>
      </c>
      <c r="I184" s="15">
        <v>119</v>
      </c>
      <c r="J184" s="15">
        <v>0</v>
      </c>
      <c r="K184" s="15" t="s">
        <v>235</v>
      </c>
      <c r="L184" s="15">
        <v>0.5</v>
      </c>
      <c r="M184" s="15" t="s">
        <v>649</v>
      </c>
      <c r="N184" s="15" t="s">
        <v>235</v>
      </c>
      <c r="O184" s="15">
        <v>38</v>
      </c>
      <c r="P184" s="15">
        <v>70</v>
      </c>
      <c r="Q184" s="15" t="s">
        <v>235</v>
      </c>
      <c r="R184" s="15" t="s">
        <v>235</v>
      </c>
      <c r="S184" s="15" t="s">
        <v>235</v>
      </c>
      <c r="T184" s="15" t="s">
        <v>235</v>
      </c>
      <c r="U184" s="15">
        <v>1</v>
      </c>
      <c r="V184" s="15" t="s">
        <v>235</v>
      </c>
      <c r="W184" s="15">
        <v>1</v>
      </c>
      <c r="X184" s="15">
        <v>8</v>
      </c>
      <c r="Y184" s="15">
        <v>1016</v>
      </c>
      <c r="Z184" s="15">
        <v>1022</v>
      </c>
      <c r="AA184" s="15" t="s">
        <v>235</v>
      </c>
      <c r="AB184" s="15" t="s">
        <v>567</v>
      </c>
    </row>
    <row r="185" spans="1:28">
      <c r="A185" s="15" t="s">
        <v>657</v>
      </c>
      <c r="B185" s="166" t="str">
        <f t="shared" si="2"/>
        <v>390</v>
      </c>
      <c r="C185" s="15">
        <v>33</v>
      </c>
      <c r="D185" s="15">
        <v>1014</v>
      </c>
      <c r="E185" s="15">
        <v>1019</v>
      </c>
      <c r="F185" s="15">
        <v>1053</v>
      </c>
      <c r="G185" s="15">
        <v>1052</v>
      </c>
      <c r="H185" s="15">
        <v>231</v>
      </c>
      <c r="I185" s="15">
        <v>231</v>
      </c>
      <c r="J185" s="15">
        <v>0</v>
      </c>
      <c r="K185" s="15" t="s">
        <v>235</v>
      </c>
      <c r="L185" s="15">
        <v>0.5</v>
      </c>
      <c r="M185" s="15" t="s">
        <v>649</v>
      </c>
      <c r="N185" s="15" t="s">
        <v>235</v>
      </c>
      <c r="O185" s="15">
        <v>38</v>
      </c>
      <c r="P185" s="15">
        <v>70</v>
      </c>
      <c r="Q185" s="15" t="s">
        <v>235</v>
      </c>
      <c r="R185" s="15" t="s">
        <v>235</v>
      </c>
      <c r="S185" s="15" t="s">
        <v>235</v>
      </c>
      <c r="T185" s="15" t="s">
        <v>235</v>
      </c>
      <c r="U185" s="15">
        <v>1</v>
      </c>
      <c r="V185" s="15" t="s">
        <v>235</v>
      </c>
      <c r="W185" s="15">
        <v>1</v>
      </c>
      <c r="X185" s="15">
        <v>8</v>
      </c>
      <c r="Y185" s="15">
        <v>1043</v>
      </c>
      <c r="Z185" s="15">
        <v>1047</v>
      </c>
      <c r="AA185" s="15" t="s">
        <v>235</v>
      </c>
      <c r="AB185" s="15" t="s">
        <v>657</v>
      </c>
    </row>
    <row r="186" spans="1:28">
      <c r="A186" s="15" t="s">
        <v>568</v>
      </c>
      <c r="B186" s="166" t="str">
        <f t="shared" si="2"/>
        <v>391</v>
      </c>
      <c r="C186" s="15">
        <v>33</v>
      </c>
      <c r="D186" s="15">
        <v>10899</v>
      </c>
      <c r="E186" s="15">
        <v>1021</v>
      </c>
      <c r="F186" s="15">
        <v>1053</v>
      </c>
      <c r="G186" s="15">
        <v>1052</v>
      </c>
      <c r="H186" s="15">
        <v>120</v>
      </c>
      <c r="I186" s="15">
        <v>120</v>
      </c>
      <c r="J186" s="15">
        <v>0</v>
      </c>
      <c r="K186" s="15" t="s">
        <v>235</v>
      </c>
      <c r="L186" s="15">
        <v>0.5</v>
      </c>
      <c r="M186" s="15" t="s">
        <v>649</v>
      </c>
      <c r="N186" s="15" t="s">
        <v>235</v>
      </c>
      <c r="O186" s="15">
        <v>39</v>
      </c>
      <c r="P186" s="15">
        <v>18</v>
      </c>
      <c r="Q186" s="15" t="s">
        <v>235</v>
      </c>
      <c r="R186" s="15" t="s">
        <v>235</v>
      </c>
      <c r="S186" s="15" t="s">
        <v>235</v>
      </c>
      <c r="T186" s="15" t="s">
        <v>235</v>
      </c>
      <c r="U186" s="15">
        <v>1</v>
      </c>
      <c r="V186" s="15" t="s">
        <v>235</v>
      </c>
      <c r="W186" s="15">
        <v>1</v>
      </c>
      <c r="X186" s="15">
        <v>8</v>
      </c>
      <c r="Y186" s="15">
        <v>1016</v>
      </c>
      <c r="Z186" s="15">
        <v>1022</v>
      </c>
      <c r="AA186" s="15" t="s">
        <v>235</v>
      </c>
      <c r="AB186" s="15" t="s">
        <v>568</v>
      </c>
    </row>
    <row r="187" spans="1:28">
      <c r="A187" s="15" t="s">
        <v>569</v>
      </c>
      <c r="B187" s="166" t="str">
        <f t="shared" si="2"/>
        <v>391</v>
      </c>
      <c r="C187" s="15">
        <v>33</v>
      </c>
      <c r="D187" s="15">
        <v>10899</v>
      </c>
      <c r="E187" s="15">
        <v>1021</v>
      </c>
      <c r="F187" s="15">
        <v>1053</v>
      </c>
      <c r="G187" s="15">
        <v>1052</v>
      </c>
      <c r="H187" s="15">
        <v>10038</v>
      </c>
      <c r="I187" s="15">
        <v>5331683</v>
      </c>
      <c r="J187" s="15">
        <v>0</v>
      </c>
      <c r="K187" s="15" t="s">
        <v>235</v>
      </c>
      <c r="L187" s="15">
        <v>0.5</v>
      </c>
      <c r="M187" s="15" t="s">
        <v>649</v>
      </c>
      <c r="N187" s="15" t="s">
        <v>235</v>
      </c>
      <c r="O187" s="15">
        <v>39</v>
      </c>
      <c r="P187" s="15">
        <v>18</v>
      </c>
      <c r="Q187" s="15" t="s">
        <v>235</v>
      </c>
      <c r="R187" s="15" t="s">
        <v>235</v>
      </c>
      <c r="S187" s="15" t="s">
        <v>235</v>
      </c>
      <c r="T187" s="15" t="s">
        <v>235</v>
      </c>
      <c r="U187" s="15">
        <v>1</v>
      </c>
      <c r="V187" s="15" t="s">
        <v>235</v>
      </c>
      <c r="W187" s="15">
        <v>1</v>
      </c>
      <c r="X187" s="15">
        <v>8</v>
      </c>
      <c r="Y187" s="15">
        <v>1016</v>
      </c>
      <c r="Z187" s="15">
        <v>1022</v>
      </c>
      <c r="AA187" s="15" t="s">
        <v>235</v>
      </c>
      <c r="AB187" s="15" t="s">
        <v>569</v>
      </c>
    </row>
    <row r="188" spans="1:28">
      <c r="A188" s="15" t="s">
        <v>570</v>
      </c>
      <c r="B188" s="166" t="str">
        <f t="shared" si="2"/>
        <v>391</v>
      </c>
      <c r="C188" s="15">
        <v>33</v>
      </c>
      <c r="D188" s="15">
        <v>10899</v>
      </c>
      <c r="E188" s="15">
        <v>1021</v>
      </c>
      <c r="F188" s="15">
        <v>1053</v>
      </c>
      <c r="G188" s="15">
        <v>1052</v>
      </c>
      <c r="H188" s="15">
        <v>121</v>
      </c>
      <c r="I188" s="15">
        <v>121</v>
      </c>
      <c r="J188" s="15">
        <v>0</v>
      </c>
      <c r="K188" s="15" t="s">
        <v>235</v>
      </c>
      <c r="L188" s="15">
        <v>0.5</v>
      </c>
      <c r="M188" s="15" t="s">
        <v>649</v>
      </c>
      <c r="N188" s="15" t="s">
        <v>235</v>
      </c>
      <c r="O188" s="15">
        <v>39</v>
      </c>
      <c r="P188" s="15">
        <v>18</v>
      </c>
      <c r="Q188" s="15" t="s">
        <v>235</v>
      </c>
      <c r="R188" s="15" t="s">
        <v>235</v>
      </c>
      <c r="S188" s="15" t="s">
        <v>235</v>
      </c>
      <c r="T188" s="15" t="s">
        <v>235</v>
      </c>
      <c r="U188" s="15">
        <v>1</v>
      </c>
      <c r="V188" s="15" t="s">
        <v>235</v>
      </c>
      <c r="W188" s="15">
        <v>1</v>
      </c>
      <c r="X188" s="15">
        <v>8</v>
      </c>
      <c r="Y188" s="15">
        <v>1016</v>
      </c>
      <c r="Z188" s="15">
        <v>1022</v>
      </c>
      <c r="AA188" s="15" t="s">
        <v>235</v>
      </c>
      <c r="AB188" s="15" t="s">
        <v>570</v>
      </c>
    </row>
    <row r="189" spans="1:28">
      <c r="A189" s="15" t="s">
        <v>571</v>
      </c>
      <c r="B189" s="166" t="str">
        <f t="shared" si="2"/>
        <v>391</v>
      </c>
      <c r="C189" s="15">
        <v>33</v>
      </c>
      <c r="D189" s="15">
        <v>10899</v>
      </c>
      <c r="E189" s="15">
        <v>1021</v>
      </c>
      <c r="F189" s="15">
        <v>1053</v>
      </c>
      <c r="G189" s="15">
        <v>1052</v>
      </c>
      <c r="H189" s="15">
        <v>122</v>
      </c>
      <c r="I189" s="15">
        <v>122</v>
      </c>
      <c r="J189" s="15">
        <v>0</v>
      </c>
      <c r="K189" s="15" t="s">
        <v>235</v>
      </c>
      <c r="L189" s="15">
        <v>0.5</v>
      </c>
      <c r="M189" s="15" t="s">
        <v>649</v>
      </c>
      <c r="N189" s="15" t="s">
        <v>235</v>
      </c>
      <c r="O189" s="15">
        <v>39</v>
      </c>
      <c r="P189" s="15">
        <v>34</v>
      </c>
      <c r="Q189" s="15" t="s">
        <v>235</v>
      </c>
      <c r="R189" s="15" t="s">
        <v>235</v>
      </c>
      <c r="S189" s="15" t="s">
        <v>235</v>
      </c>
      <c r="T189" s="15" t="s">
        <v>235</v>
      </c>
      <c r="U189" s="15">
        <v>1</v>
      </c>
      <c r="V189" s="15" t="s">
        <v>235</v>
      </c>
      <c r="W189" s="15">
        <v>1</v>
      </c>
      <c r="X189" s="15">
        <v>8</v>
      </c>
      <c r="Y189" s="15">
        <v>1016</v>
      </c>
      <c r="Z189" s="15">
        <v>1022</v>
      </c>
      <c r="AA189" s="15" t="s">
        <v>235</v>
      </c>
      <c r="AB189" s="15" t="s">
        <v>571</v>
      </c>
    </row>
    <row r="190" spans="1:28">
      <c r="A190" s="15" t="s">
        <v>572</v>
      </c>
      <c r="B190" s="166" t="str">
        <f t="shared" si="2"/>
        <v>391</v>
      </c>
      <c r="C190" s="15">
        <v>33</v>
      </c>
      <c r="D190" s="15">
        <v>10899</v>
      </c>
      <c r="E190" s="15">
        <v>1021</v>
      </c>
      <c r="F190" s="15">
        <v>1053</v>
      </c>
      <c r="G190" s="15">
        <v>1052</v>
      </c>
      <c r="H190" s="15">
        <v>10166</v>
      </c>
      <c r="I190" s="15">
        <v>18499621</v>
      </c>
      <c r="J190" s="15">
        <v>0</v>
      </c>
      <c r="K190" s="15" t="s">
        <v>235</v>
      </c>
      <c r="L190" s="15">
        <v>0.5</v>
      </c>
      <c r="M190" s="15" t="s">
        <v>649</v>
      </c>
      <c r="N190" s="15" t="s">
        <v>235</v>
      </c>
      <c r="O190" s="15">
        <v>39</v>
      </c>
      <c r="P190" s="15">
        <v>43</v>
      </c>
      <c r="Q190" s="15" t="s">
        <v>235</v>
      </c>
      <c r="R190" s="15" t="s">
        <v>235</v>
      </c>
      <c r="S190" s="15" t="s">
        <v>235</v>
      </c>
      <c r="T190" s="15" t="s">
        <v>235</v>
      </c>
      <c r="U190" s="15">
        <v>1</v>
      </c>
      <c r="V190" s="15" t="s">
        <v>235</v>
      </c>
      <c r="W190" s="15">
        <v>1</v>
      </c>
      <c r="X190" s="15">
        <v>8</v>
      </c>
      <c r="Y190" s="15">
        <v>1016</v>
      </c>
      <c r="Z190" s="15">
        <v>1022</v>
      </c>
      <c r="AA190" s="15" t="s">
        <v>235</v>
      </c>
      <c r="AB190" s="15" t="s">
        <v>572</v>
      </c>
    </row>
    <row r="191" spans="1:28">
      <c r="A191" s="15" t="s">
        <v>573</v>
      </c>
      <c r="B191" s="166" t="str">
        <f t="shared" si="2"/>
        <v>391</v>
      </c>
      <c r="C191" s="15">
        <v>33</v>
      </c>
      <c r="D191" s="15">
        <v>10899</v>
      </c>
      <c r="E191" s="15">
        <v>1021</v>
      </c>
      <c r="F191" s="15">
        <v>1053</v>
      </c>
      <c r="G191" s="15">
        <v>1052</v>
      </c>
      <c r="H191" s="15">
        <v>10257</v>
      </c>
      <c r="I191" s="15">
        <v>23609810</v>
      </c>
      <c r="J191" s="15">
        <v>0</v>
      </c>
      <c r="K191" s="15" t="s">
        <v>235</v>
      </c>
      <c r="L191" s="15">
        <v>0.5</v>
      </c>
      <c r="M191" s="15" t="s">
        <v>649</v>
      </c>
      <c r="N191" s="15" t="s">
        <v>235</v>
      </c>
      <c r="O191" s="15">
        <v>39</v>
      </c>
      <c r="P191" s="15">
        <v>43</v>
      </c>
      <c r="Q191" s="15" t="s">
        <v>235</v>
      </c>
      <c r="R191" s="15" t="s">
        <v>235</v>
      </c>
      <c r="S191" s="15" t="s">
        <v>235</v>
      </c>
      <c r="T191" s="15" t="s">
        <v>235</v>
      </c>
      <c r="U191" s="15">
        <v>1</v>
      </c>
      <c r="V191" s="15" t="s">
        <v>235</v>
      </c>
      <c r="W191" s="15">
        <v>1</v>
      </c>
      <c r="X191" s="15">
        <v>8</v>
      </c>
      <c r="Y191" s="15">
        <v>1016</v>
      </c>
      <c r="Z191" s="15">
        <v>1022</v>
      </c>
      <c r="AA191" s="15" t="s">
        <v>235</v>
      </c>
      <c r="AB191" s="15" t="s">
        <v>573</v>
      </c>
    </row>
    <row r="192" spans="1:28">
      <c r="A192" s="15" t="s">
        <v>574</v>
      </c>
      <c r="B192" s="166" t="str">
        <f t="shared" si="2"/>
        <v>391</v>
      </c>
      <c r="C192" s="15">
        <v>33</v>
      </c>
      <c r="D192" s="15">
        <v>10899</v>
      </c>
      <c r="E192" s="15">
        <v>1021</v>
      </c>
      <c r="F192" s="15">
        <v>1053</v>
      </c>
      <c r="G192" s="15">
        <v>1052</v>
      </c>
      <c r="H192" s="15">
        <v>123</v>
      </c>
      <c r="I192" s="15">
        <v>123</v>
      </c>
      <c r="J192" s="15">
        <v>0</v>
      </c>
      <c r="K192" s="15" t="s">
        <v>235</v>
      </c>
      <c r="L192" s="15">
        <v>0.5</v>
      </c>
      <c r="M192" s="15" t="s">
        <v>649</v>
      </c>
      <c r="N192" s="15" t="s">
        <v>235</v>
      </c>
      <c r="O192" s="15">
        <v>39</v>
      </c>
      <c r="P192" s="15">
        <v>43</v>
      </c>
      <c r="Q192" s="15" t="s">
        <v>235</v>
      </c>
      <c r="R192" s="15" t="s">
        <v>235</v>
      </c>
      <c r="S192" s="15" t="s">
        <v>235</v>
      </c>
      <c r="T192" s="15" t="s">
        <v>235</v>
      </c>
      <c r="U192" s="15">
        <v>1</v>
      </c>
      <c r="V192" s="15" t="s">
        <v>235</v>
      </c>
      <c r="W192" s="15">
        <v>1</v>
      </c>
      <c r="X192" s="15">
        <v>8</v>
      </c>
      <c r="Y192" s="15">
        <v>1016</v>
      </c>
      <c r="Z192" s="15">
        <v>1022</v>
      </c>
      <c r="AA192" s="15" t="s">
        <v>235</v>
      </c>
      <c r="AB192" s="15" t="s">
        <v>574</v>
      </c>
    </row>
    <row r="193" spans="1:28">
      <c r="A193" s="15" t="s">
        <v>575</v>
      </c>
      <c r="B193" s="166" t="str">
        <f t="shared" si="2"/>
        <v>391</v>
      </c>
      <c r="C193" s="15">
        <v>33</v>
      </c>
      <c r="D193" s="15">
        <v>10899</v>
      </c>
      <c r="E193" s="15">
        <v>1021</v>
      </c>
      <c r="F193" s="15">
        <v>1053</v>
      </c>
      <c r="G193" s="15">
        <v>1052</v>
      </c>
      <c r="H193" s="15">
        <v>124</v>
      </c>
      <c r="I193" s="15">
        <v>124</v>
      </c>
      <c r="J193" s="15">
        <v>0</v>
      </c>
      <c r="K193" s="15" t="s">
        <v>235</v>
      </c>
      <c r="L193" s="15">
        <v>0.5</v>
      </c>
      <c r="M193" s="15" t="s">
        <v>649</v>
      </c>
      <c r="N193" s="15" t="s">
        <v>235</v>
      </c>
      <c r="O193" s="15">
        <v>39</v>
      </c>
      <c r="P193" s="15">
        <v>43</v>
      </c>
      <c r="Q193" s="15" t="s">
        <v>235</v>
      </c>
      <c r="R193" s="15" t="s">
        <v>235</v>
      </c>
      <c r="S193" s="15" t="s">
        <v>235</v>
      </c>
      <c r="T193" s="15" t="s">
        <v>235</v>
      </c>
      <c r="U193" s="15">
        <v>1</v>
      </c>
      <c r="V193" s="15" t="s">
        <v>235</v>
      </c>
      <c r="W193" s="15">
        <v>1</v>
      </c>
      <c r="X193" s="15">
        <v>8</v>
      </c>
      <c r="Y193" s="15">
        <v>1016</v>
      </c>
      <c r="Z193" s="15">
        <v>1022</v>
      </c>
      <c r="AA193" s="15" t="s">
        <v>235</v>
      </c>
      <c r="AB193" s="15" t="s">
        <v>575</v>
      </c>
    </row>
    <row r="194" spans="1:28">
      <c r="A194" s="15" t="s">
        <v>576</v>
      </c>
      <c r="B194" s="166" t="str">
        <f t="shared" ref="B194:B257" si="3">MID($A194,3,3)</f>
        <v>391</v>
      </c>
      <c r="C194" s="15">
        <v>33</v>
      </c>
      <c r="D194" s="15">
        <v>10899</v>
      </c>
      <c r="E194" s="15">
        <v>1021</v>
      </c>
      <c r="F194" s="15">
        <v>1053</v>
      </c>
      <c r="G194" s="15">
        <v>1052</v>
      </c>
      <c r="H194" s="15">
        <v>125</v>
      </c>
      <c r="I194" s="15">
        <v>125</v>
      </c>
      <c r="J194" s="15">
        <v>0</v>
      </c>
      <c r="K194" s="15" t="s">
        <v>235</v>
      </c>
      <c r="L194" s="15">
        <v>0.5</v>
      </c>
      <c r="M194" s="15" t="s">
        <v>649</v>
      </c>
      <c r="N194" s="15" t="s">
        <v>235</v>
      </c>
      <c r="O194" s="15">
        <v>39</v>
      </c>
      <c r="P194" s="15">
        <v>43</v>
      </c>
      <c r="Q194" s="15" t="s">
        <v>235</v>
      </c>
      <c r="R194" s="15" t="s">
        <v>235</v>
      </c>
      <c r="S194" s="15" t="s">
        <v>235</v>
      </c>
      <c r="T194" s="15" t="s">
        <v>235</v>
      </c>
      <c r="U194" s="15">
        <v>1</v>
      </c>
      <c r="V194" s="15" t="s">
        <v>235</v>
      </c>
      <c r="W194" s="15">
        <v>1</v>
      </c>
      <c r="X194" s="15">
        <v>8</v>
      </c>
      <c r="Y194" s="15">
        <v>1016</v>
      </c>
      <c r="Z194" s="15">
        <v>1022</v>
      </c>
      <c r="AA194" s="15" t="s">
        <v>235</v>
      </c>
      <c r="AB194" s="15" t="s">
        <v>576</v>
      </c>
    </row>
    <row r="195" spans="1:28">
      <c r="A195" s="15" t="s">
        <v>577</v>
      </c>
      <c r="B195" s="166" t="str">
        <f t="shared" si="3"/>
        <v>391</v>
      </c>
      <c r="C195" s="15">
        <v>33</v>
      </c>
      <c r="D195" s="15">
        <v>10899</v>
      </c>
      <c r="E195" s="15">
        <v>1021</v>
      </c>
      <c r="F195" s="15">
        <v>1053</v>
      </c>
      <c r="G195" s="15">
        <v>1052</v>
      </c>
      <c r="H195" s="15">
        <v>126</v>
      </c>
      <c r="I195" s="15">
        <v>126</v>
      </c>
      <c r="J195" s="15">
        <v>0</v>
      </c>
      <c r="K195" s="15" t="s">
        <v>235</v>
      </c>
      <c r="L195" s="15">
        <v>0.5</v>
      </c>
      <c r="M195" s="15" t="s">
        <v>649</v>
      </c>
      <c r="N195" s="15" t="s">
        <v>235</v>
      </c>
      <c r="O195" s="15">
        <v>39</v>
      </c>
      <c r="P195" s="15">
        <v>43</v>
      </c>
      <c r="Q195" s="15" t="s">
        <v>235</v>
      </c>
      <c r="R195" s="15" t="s">
        <v>235</v>
      </c>
      <c r="S195" s="15" t="s">
        <v>235</v>
      </c>
      <c r="T195" s="15" t="s">
        <v>235</v>
      </c>
      <c r="U195" s="15">
        <v>1</v>
      </c>
      <c r="V195" s="15" t="s">
        <v>235</v>
      </c>
      <c r="W195" s="15">
        <v>1</v>
      </c>
      <c r="X195" s="15">
        <v>8</v>
      </c>
      <c r="Y195" s="15">
        <v>1016</v>
      </c>
      <c r="Z195" s="15">
        <v>1022</v>
      </c>
      <c r="AA195" s="15" t="s">
        <v>235</v>
      </c>
      <c r="AB195" s="15" t="s">
        <v>577</v>
      </c>
    </row>
    <row r="196" spans="1:28">
      <c r="A196" s="15" t="s">
        <v>578</v>
      </c>
      <c r="B196" s="166" t="str">
        <f t="shared" si="3"/>
        <v>391</v>
      </c>
      <c r="C196" s="15">
        <v>33</v>
      </c>
      <c r="D196" s="15">
        <v>10899</v>
      </c>
      <c r="E196" s="15">
        <v>1021</v>
      </c>
      <c r="F196" s="15">
        <v>1053</v>
      </c>
      <c r="G196" s="15">
        <v>1052</v>
      </c>
      <c r="H196" s="15">
        <v>127</v>
      </c>
      <c r="I196" s="15">
        <v>127</v>
      </c>
      <c r="J196" s="15">
        <v>0</v>
      </c>
      <c r="K196" s="15" t="s">
        <v>235</v>
      </c>
      <c r="L196" s="15">
        <v>0.5</v>
      </c>
      <c r="M196" s="15" t="s">
        <v>649</v>
      </c>
      <c r="N196" s="15" t="s">
        <v>235</v>
      </c>
      <c r="O196" s="15">
        <v>39</v>
      </c>
      <c r="P196" s="15">
        <v>43</v>
      </c>
      <c r="Q196" s="15" t="s">
        <v>235</v>
      </c>
      <c r="R196" s="15" t="s">
        <v>235</v>
      </c>
      <c r="S196" s="15" t="s">
        <v>235</v>
      </c>
      <c r="T196" s="15" t="s">
        <v>235</v>
      </c>
      <c r="U196" s="15">
        <v>1</v>
      </c>
      <c r="V196" s="15" t="s">
        <v>235</v>
      </c>
      <c r="W196" s="15">
        <v>1</v>
      </c>
      <c r="X196" s="15">
        <v>8</v>
      </c>
      <c r="Y196" s="15">
        <v>1016</v>
      </c>
      <c r="Z196" s="15">
        <v>1022</v>
      </c>
      <c r="AA196" s="15" t="s">
        <v>235</v>
      </c>
      <c r="AB196" s="15" t="s">
        <v>578</v>
      </c>
    </row>
    <row r="197" spans="1:28">
      <c r="A197" s="15" t="s">
        <v>579</v>
      </c>
      <c r="B197" s="166" t="str">
        <f t="shared" si="3"/>
        <v>391</v>
      </c>
      <c r="C197" s="15">
        <v>33</v>
      </c>
      <c r="D197" s="15">
        <v>10899</v>
      </c>
      <c r="E197" s="15">
        <v>1021</v>
      </c>
      <c r="F197" s="15">
        <v>1053</v>
      </c>
      <c r="G197" s="15">
        <v>1052</v>
      </c>
      <c r="H197" s="15">
        <v>10243</v>
      </c>
      <c r="I197" s="15">
        <v>22870528</v>
      </c>
      <c r="J197" s="15">
        <v>0</v>
      </c>
      <c r="K197" s="15" t="s">
        <v>235</v>
      </c>
      <c r="L197" s="15">
        <v>0.5</v>
      </c>
      <c r="M197" s="15" t="s">
        <v>649</v>
      </c>
      <c r="N197" s="15" t="s">
        <v>235</v>
      </c>
      <c r="O197" s="15">
        <v>39</v>
      </c>
      <c r="P197" s="15">
        <v>43</v>
      </c>
      <c r="Q197" s="15" t="s">
        <v>235</v>
      </c>
      <c r="R197" s="15" t="s">
        <v>235</v>
      </c>
      <c r="S197" s="15" t="s">
        <v>235</v>
      </c>
      <c r="T197" s="15" t="s">
        <v>235</v>
      </c>
      <c r="U197" s="15">
        <v>1</v>
      </c>
      <c r="V197" s="15" t="s">
        <v>235</v>
      </c>
      <c r="W197" s="15">
        <v>1</v>
      </c>
      <c r="X197" s="15">
        <v>8</v>
      </c>
      <c r="Y197" s="15">
        <v>1016</v>
      </c>
      <c r="Z197" s="15">
        <v>1022</v>
      </c>
      <c r="AA197" s="15" t="s">
        <v>235</v>
      </c>
      <c r="AB197" s="15" t="s">
        <v>579</v>
      </c>
    </row>
    <row r="198" spans="1:28">
      <c r="A198" s="15" t="s">
        <v>580</v>
      </c>
      <c r="B198" s="166" t="str">
        <f t="shared" si="3"/>
        <v>391</v>
      </c>
      <c r="C198" s="15">
        <v>33</v>
      </c>
      <c r="D198" s="15">
        <v>10899</v>
      </c>
      <c r="E198" s="15">
        <v>1021</v>
      </c>
      <c r="F198" s="15">
        <v>1053</v>
      </c>
      <c r="G198" s="15">
        <v>1052</v>
      </c>
      <c r="H198" s="15">
        <v>128</v>
      </c>
      <c r="I198" s="15">
        <v>128</v>
      </c>
      <c r="J198" s="15">
        <v>0</v>
      </c>
      <c r="K198" s="15" t="s">
        <v>235</v>
      </c>
      <c r="L198" s="15">
        <v>0.5</v>
      </c>
      <c r="M198" s="15" t="s">
        <v>649</v>
      </c>
      <c r="N198" s="15" t="s">
        <v>235</v>
      </c>
      <c r="O198" s="15">
        <v>39</v>
      </c>
      <c r="P198" s="15">
        <v>44</v>
      </c>
      <c r="Q198" s="15" t="s">
        <v>235</v>
      </c>
      <c r="R198" s="15" t="s">
        <v>235</v>
      </c>
      <c r="S198" s="15" t="s">
        <v>235</v>
      </c>
      <c r="T198" s="15" t="s">
        <v>235</v>
      </c>
      <c r="U198" s="15">
        <v>1</v>
      </c>
      <c r="V198" s="15" t="s">
        <v>235</v>
      </c>
      <c r="W198" s="15">
        <v>1</v>
      </c>
      <c r="X198" s="15">
        <v>8</v>
      </c>
      <c r="Y198" s="15">
        <v>1016</v>
      </c>
      <c r="Z198" s="15">
        <v>1022</v>
      </c>
      <c r="AA198" s="15" t="s">
        <v>235</v>
      </c>
      <c r="AB198" s="15" t="s">
        <v>580</v>
      </c>
    </row>
    <row r="199" spans="1:28">
      <c r="A199" s="15" t="s">
        <v>581</v>
      </c>
      <c r="B199" s="166" t="str">
        <f t="shared" si="3"/>
        <v>391</v>
      </c>
      <c r="C199" s="15">
        <v>33</v>
      </c>
      <c r="D199" s="15">
        <v>10899</v>
      </c>
      <c r="E199" s="15">
        <v>1021</v>
      </c>
      <c r="F199" s="15">
        <v>1053</v>
      </c>
      <c r="G199" s="15">
        <v>1052</v>
      </c>
      <c r="H199" s="15">
        <v>10098</v>
      </c>
      <c r="I199" s="15">
        <v>7303598</v>
      </c>
      <c r="J199" s="15">
        <v>0</v>
      </c>
      <c r="K199" s="15" t="s">
        <v>235</v>
      </c>
      <c r="L199" s="15">
        <v>0.5</v>
      </c>
      <c r="M199" s="15" t="s">
        <v>649</v>
      </c>
      <c r="N199" s="15" t="s">
        <v>235</v>
      </c>
      <c r="O199" s="15">
        <v>39</v>
      </c>
      <c r="P199" s="15">
        <v>44</v>
      </c>
      <c r="Q199" s="15" t="s">
        <v>235</v>
      </c>
      <c r="R199" s="15" t="s">
        <v>235</v>
      </c>
      <c r="S199" s="15" t="s">
        <v>235</v>
      </c>
      <c r="T199" s="15" t="s">
        <v>235</v>
      </c>
      <c r="U199" s="15">
        <v>1</v>
      </c>
      <c r="V199" s="15" t="s">
        <v>235</v>
      </c>
      <c r="W199" s="15">
        <v>1</v>
      </c>
      <c r="X199" s="15">
        <v>8</v>
      </c>
      <c r="Y199" s="15">
        <v>1016</v>
      </c>
      <c r="Z199" s="15">
        <v>1022</v>
      </c>
      <c r="AA199" s="15" t="s">
        <v>235</v>
      </c>
      <c r="AB199" s="15" t="s">
        <v>581</v>
      </c>
    </row>
    <row r="200" spans="1:28">
      <c r="A200" s="15" t="s">
        <v>582</v>
      </c>
      <c r="B200" s="166" t="str">
        <f t="shared" si="3"/>
        <v>391</v>
      </c>
      <c r="C200" s="15">
        <v>33</v>
      </c>
      <c r="D200" s="15">
        <v>10899</v>
      </c>
      <c r="E200" s="15">
        <v>1021</v>
      </c>
      <c r="F200" s="15">
        <v>1053</v>
      </c>
      <c r="G200" s="15">
        <v>1052</v>
      </c>
      <c r="H200" s="15">
        <v>129</v>
      </c>
      <c r="I200" s="15">
        <v>129</v>
      </c>
      <c r="J200" s="15">
        <v>0</v>
      </c>
      <c r="K200" s="15" t="s">
        <v>235</v>
      </c>
      <c r="L200" s="15">
        <v>0.5</v>
      </c>
      <c r="M200" s="15" t="s">
        <v>649</v>
      </c>
      <c r="N200" s="15" t="s">
        <v>235</v>
      </c>
      <c r="O200" s="15">
        <v>39</v>
      </c>
      <c r="P200" s="15">
        <v>44</v>
      </c>
      <c r="Q200" s="15" t="s">
        <v>235</v>
      </c>
      <c r="R200" s="15" t="s">
        <v>235</v>
      </c>
      <c r="S200" s="15" t="s">
        <v>235</v>
      </c>
      <c r="T200" s="15" t="s">
        <v>235</v>
      </c>
      <c r="U200" s="15">
        <v>1</v>
      </c>
      <c r="V200" s="15" t="s">
        <v>235</v>
      </c>
      <c r="W200" s="15">
        <v>1</v>
      </c>
      <c r="X200" s="15">
        <v>8</v>
      </c>
      <c r="Y200" s="15">
        <v>1016</v>
      </c>
      <c r="Z200" s="15">
        <v>1022</v>
      </c>
      <c r="AA200" s="15" t="s">
        <v>235</v>
      </c>
      <c r="AB200" s="15" t="s">
        <v>582</v>
      </c>
    </row>
    <row r="201" spans="1:28">
      <c r="A201" s="15" t="s">
        <v>583</v>
      </c>
      <c r="B201" s="166" t="str">
        <f t="shared" si="3"/>
        <v>391</v>
      </c>
      <c r="C201" s="15">
        <v>33</v>
      </c>
      <c r="D201" s="15">
        <v>10899</v>
      </c>
      <c r="E201" s="15">
        <v>1021</v>
      </c>
      <c r="F201" s="15">
        <v>1053</v>
      </c>
      <c r="G201" s="15">
        <v>1052</v>
      </c>
      <c r="H201" s="15">
        <v>130</v>
      </c>
      <c r="I201" s="15">
        <v>130</v>
      </c>
      <c r="J201" s="15">
        <v>0</v>
      </c>
      <c r="K201" s="15" t="s">
        <v>235</v>
      </c>
      <c r="L201" s="15">
        <v>0.5</v>
      </c>
      <c r="M201" s="15" t="s">
        <v>649</v>
      </c>
      <c r="N201" s="15" t="s">
        <v>235</v>
      </c>
      <c r="O201" s="15">
        <v>39</v>
      </c>
      <c r="P201" s="15">
        <v>44</v>
      </c>
      <c r="Q201" s="15" t="s">
        <v>235</v>
      </c>
      <c r="R201" s="15" t="s">
        <v>235</v>
      </c>
      <c r="S201" s="15" t="s">
        <v>235</v>
      </c>
      <c r="T201" s="15" t="s">
        <v>235</v>
      </c>
      <c r="U201" s="15">
        <v>1</v>
      </c>
      <c r="V201" s="15" t="s">
        <v>235</v>
      </c>
      <c r="W201" s="15">
        <v>1</v>
      </c>
      <c r="X201" s="15">
        <v>8</v>
      </c>
      <c r="Y201" s="15">
        <v>1016</v>
      </c>
      <c r="Z201" s="15">
        <v>1022</v>
      </c>
      <c r="AA201" s="15" t="s">
        <v>235</v>
      </c>
      <c r="AB201" s="15" t="s">
        <v>583</v>
      </c>
    </row>
    <row r="202" spans="1:28">
      <c r="A202" s="15" t="s">
        <v>584</v>
      </c>
      <c r="B202" s="166" t="str">
        <f t="shared" si="3"/>
        <v>391</v>
      </c>
      <c r="C202" s="15">
        <v>33</v>
      </c>
      <c r="D202" s="15">
        <v>10899</v>
      </c>
      <c r="E202" s="15">
        <v>1021</v>
      </c>
      <c r="F202" s="15">
        <v>1053</v>
      </c>
      <c r="G202" s="15">
        <v>1052</v>
      </c>
      <c r="H202" s="15">
        <v>10039</v>
      </c>
      <c r="I202" s="15">
        <v>5331779</v>
      </c>
      <c r="J202" s="15">
        <v>0</v>
      </c>
      <c r="K202" s="15" t="s">
        <v>235</v>
      </c>
      <c r="L202" s="15">
        <v>0.5</v>
      </c>
      <c r="M202" s="15" t="s">
        <v>649</v>
      </c>
      <c r="N202" s="15" t="s">
        <v>235</v>
      </c>
      <c r="O202" s="15">
        <v>39</v>
      </c>
      <c r="P202" s="15">
        <v>44</v>
      </c>
      <c r="Q202" s="15" t="s">
        <v>235</v>
      </c>
      <c r="R202" s="15" t="s">
        <v>235</v>
      </c>
      <c r="S202" s="15" t="s">
        <v>235</v>
      </c>
      <c r="T202" s="15" t="s">
        <v>235</v>
      </c>
      <c r="U202" s="15">
        <v>1</v>
      </c>
      <c r="V202" s="15" t="s">
        <v>235</v>
      </c>
      <c r="W202" s="15">
        <v>1</v>
      </c>
      <c r="X202" s="15">
        <v>8</v>
      </c>
      <c r="Y202" s="15">
        <v>1016</v>
      </c>
      <c r="Z202" s="15">
        <v>1022</v>
      </c>
      <c r="AA202" s="15" t="s">
        <v>235</v>
      </c>
      <c r="AB202" s="15" t="s">
        <v>584</v>
      </c>
    </row>
    <row r="203" spans="1:28">
      <c r="A203" s="15" t="s">
        <v>585</v>
      </c>
      <c r="B203" s="166" t="str">
        <f t="shared" si="3"/>
        <v>391</v>
      </c>
      <c r="C203" s="15">
        <v>33</v>
      </c>
      <c r="D203" s="15">
        <v>10899</v>
      </c>
      <c r="E203" s="15">
        <v>1021</v>
      </c>
      <c r="F203" s="15">
        <v>1053</v>
      </c>
      <c r="G203" s="15">
        <v>1052</v>
      </c>
      <c r="H203" s="15">
        <v>131</v>
      </c>
      <c r="I203" s="15">
        <v>131</v>
      </c>
      <c r="J203" s="15">
        <v>0</v>
      </c>
      <c r="K203" s="15" t="s">
        <v>235</v>
      </c>
      <c r="L203" s="15">
        <v>0.5</v>
      </c>
      <c r="M203" s="15" t="s">
        <v>649</v>
      </c>
      <c r="N203" s="15" t="s">
        <v>235</v>
      </c>
      <c r="O203" s="15">
        <v>39</v>
      </c>
      <c r="P203" s="15">
        <v>44</v>
      </c>
      <c r="Q203" s="15" t="s">
        <v>235</v>
      </c>
      <c r="R203" s="15" t="s">
        <v>235</v>
      </c>
      <c r="S203" s="15" t="s">
        <v>235</v>
      </c>
      <c r="T203" s="15" t="s">
        <v>235</v>
      </c>
      <c r="U203" s="15">
        <v>1</v>
      </c>
      <c r="V203" s="15" t="s">
        <v>235</v>
      </c>
      <c r="W203" s="15">
        <v>1</v>
      </c>
      <c r="X203" s="15">
        <v>8</v>
      </c>
      <c r="Y203" s="15">
        <v>1016</v>
      </c>
      <c r="Z203" s="15">
        <v>1022</v>
      </c>
      <c r="AA203" s="15" t="s">
        <v>235</v>
      </c>
      <c r="AB203" s="15" t="s">
        <v>585</v>
      </c>
    </row>
    <row r="204" spans="1:28">
      <c r="A204" s="15" t="s">
        <v>586</v>
      </c>
      <c r="B204" s="166" t="str">
        <f t="shared" si="3"/>
        <v>391</v>
      </c>
      <c r="C204" s="15">
        <v>33</v>
      </c>
      <c r="D204" s="15">
        <v>10899</v>
      </c>
      <c r="E204" s="15">
        <v>1021</v>
      </c>
      <c r="F204" s="15">
        <v>1053</v>
      </c>
      <c r="G204" s="15">
        <v>1052</v>
      </c>
      <c r="H204" s="15">
        <v>132</v>
      </c>
      <c r="I204" s="15">
        <v>132</v>
      </c>
      <c r="J204" s="15">
        <v>0</v>
      </c>
      <c r="K204" s="15" t="s">
        <v>235</v>
      </c>
      <c r="L204" s="15">
        <v>0.5</v>
      </c>
      <c r="M204" s="15" t="s">
        <v>649</v>
      </c>
      <c r="N204" s="15" t="s">
        <v>235</v>
      </c>
      <c r="O204" s="15">
        <v>39</v>
      </c>
      <c r="P204" s="15">
        <v>44</v>
      </c>
      <c r="Q204" s="15" t="s">
        <v>235</v>
      </c>
      <c r="R204" s="15" t="s">
        <v>235</v>
      </c>
      <c r="S204" s="15" t="s">
        <v>235</v>
      </c>
      <c r="T204" s="15" t="s">
        <v>235</v>
      </c>
      <c r="U204" s="15">
        <v>1</v>
      </c>
      <c r="V204" s="15" t="s">
        <v>235</v>
      </c>
      <c r="W204" s="15">
        <v>1</v>
      </c>
      <c r="X204" s="15">
        <v>8</v>
      </c>
      <c r="Y204" s="15">
        <v>1016</v>
      </c>
      <c r="Z204" s="15">
        <v>1022</v>
      </c>
      <c r="AA204" s="15" t="s">
        <v>235</v>
      </c>
      <c r="AB204" s="15" t="s">
        <v>586</v>
      </c>
    </row>
    <row r="205" spans="1:28">
      <c r="A205" s="15" t="s">
        <v>587</v>
      </c>
      <c r="B205" s="166" t="str">
        <f t="shared" si="3"/>
        <v>391</v>
      </c>
      <c r="C205" s="15">
        <v>33</v>
      </c>
      <c r="D205" s="15">
        <v>10899</v>
      </c>
      <c r="E205" s="15">
        <v>1021</v>
      </c>
      <c r="F205" s="15">
        <v>1053</v>
      </c>
      <c r="G205" s="15">
        <v>1052</v>
      </c>
      <c r="H205" s="15">
        <v>133</v>
      </c>
      <c r="I205" s="15">
        <v>133</v>
      </c>
      <c r="J205" s="15">
        <v>0</v>
      </c>
      <c r="K205" s="15" t="s">
        <v>235</v>
      </c>
      <c r="L205" s="15">
        <v>0.5</v>
      </c>
      <c r="M205" s="15" t="s">
        <v>649</v>
      </c>
      <c r="N205" s="15" t="s">
        <v>235</v>
      </c>
      <c r="O205" s="15">
        <v>39</v>
      </c>
      <c r="P205" s="15">
        <v>44</v>
      </c>
      <c r="Q205" s="15" t="s">
        <v>235</v>
      </c>
      <c r="R205" s="15" t="s">
        <v>235</v>
      </c>
      <c r="S205" s="15" t="s">
        <v>235</v>
      </c>
      <c r="T205" s="15" t="s">
        <v>235</v>
      </c>
      <c r="U205" s="15">
        <v>1</v>
      </c>
      <c r="V205" s="15" t="s">
        <v>235</v>
      </c>
      <c r="W205" s="15">
        <v>1</v>
      </c>
      <c r="X205" s="15">
        <v>8</v>
      </c>
      <c r="Y205" s="15">
        <v>1016</v>
      </c>
      <c r="Z205" s="15">
        <v>1022</v>
      </c>
      <c r="AA205" s="15" t="s">
        <v>235</v>
      </c>
      <c r="AB205" s="15" t="s">
        <v>587</v>
      </c>
    </row>
    <row r="206" spans="1:28">
      <c r="A206" s="15" t="s">
        <v>588</v>
      </c>
      <c r="B206" s="166" t="str">
        <f t="shared" si="3"/>
        <v>391</v>
      </c>
      <c r="C206" s="15">
        <v>33</v>
      </c>
      <c r="D206" s="15">
        <v>10899</v>
      </c>
      <c r="E206" s="15">
        <v>1021</v>
      </c>
      <c r="F206" s="15">
        <v>1053</v>
      </c>
      <c r="G206" s="15">
        <v>1052</v>
      </c>
      <c r="H206" s="15">
        <v>134</v>
      </c>
      <c r="I206" s="15">
        <v>134</v>
      </c>
      <c r="J206" s="15">
        <v>0</v>
      </c>
      <c r="K206" s="15" t="s">
        <v>235</v>
      </c>
      <c r="L206" s="15">
        <v>0.5</v>
      </c>
      <c r="M206" s="15" t="s">
        <v>649</v>
      </c>
      <c r="N206" s="15" t="s">
        <v>235</v>
      </c>
      <c r="O206" s="15">
        <v>39</v>
      </c>
      <c r="P206" s="15">
        <v>44</v>
      </c>
      <c r="Q206" s="15" t="s">
        <v>235</v>
      </c>
      <c r="R206" s="15" t="s">
        <v>235</v>
      </c>
      <c r="S206" s="15" t="s">
        <v>235</v>
      </c>
      <c r="T206" s="15" t="s">
        <v>235</v>
      </c>
      <c r="U206" s="15">
        <v>1</v>
      </c>
      <c r="V206" s="15" t="s">
        <v>235</v>
      </c>
      <c r="W206" s="15">
        <v>1</v>
      </c>
      <c r="X206" s="15">
        <v>8</v>
      </c>
      <c r="Y206" s="15">
        <v>1016</v>
      </c>
      <c r="Z206" s="15">
        <v>1022</v>
      </c>
      <c r="AA206" s="15" t="s">
        <v>235</v>
      </c>
      <c r="AB206" s="15" t="s">
        <v>588</v>
      </c>
    </row>
    <row r="207" spans="1:28">
      <c r="A207" s="15" t="s">
        <v>589</v>
      </c>
      <c r="B207" s="166" t="str">
        <f t="shared" si="3"/>
        <v>391</v>
      </c>
      <c r="C207" s="15">
        <v>33</v>
      </c>
      <c r="D207" s="15">
        <v>10899</v>
      </c>
      <c r="E207" s="15">
        <v>1021</v>
      </c>
      <c r="F207" s="15">
        <v>1053</v>
      </c>
      <c r="G207" s="15">
        <v>1052</v>
      </c>
      <c r="H207" s="15">
        <v>135</v>
      </c>
      <c r="I207" s="15">
        <v>135</v>
      </c>
      <c r="J207" s="15">
        <v>0</v>
      </c>
      <c r="K207" s="15" t="s">
        <v>235</v>
      </c>
      <c r="L207" s="15">
        <v>0.5</v>
      </c>
      <c r="M207" s="15" t="s">
        <v>649</v>
      </c>
      <c r="N207" s="15" t="s">
        <v>235</v>
      </c>
      <c r="O207" s="15">
        <v>39</v>
      </c>
      <c r="P207" s="15">
        <v>44</v>
      </c>
      <c r="Q207" s="15" t="s">
        <v>235</v>
      </c>
      <c r="R207" s="15" t="s">
        <v>235</v>
      </c>
      <c r="S207" s="15" t="s">
        <v>235</v>
      </c>
      <c r="T207" s="15" t="s">
        <v>235</v>
      </c>
      <c r="U207" s="15">
        <v>1</v>
      </c>
      <c r="V207" s="15" t="s">
        <v>235</v>
      </c>
      <c r="W207" s="15">
        <v>1</v>
      </c>
      <c r="X207" s="15">
        <v>8</v>
      </c>
      <c r="Y207" s="15">
        <v>1016</v>
      </c>
      <c r="Z207" s="15">
        <v>1022</v>
      </c>
      <c r="AA207" s="15" t="s">
        <v>235</v>
      </c>
      <c r="AB207" s="15" t="s">
        <v>589</v>
      </c>
    </row>
    <row r="208" spans="1:28">
      <c r="A208" s="15" t="s">
        <v>590</v>
      </c>
      <c r="B208" s="166" t="str">
        <f t="shared" si="3"/>
        <v>391</v>
      </c>
      <c r="C208" s="15">
        <v>33</v>
      </c>
      <c r="D208" s="15">
        <v>10899</v>
      </c>
      <c r="E208" s="15">
        <v>1021</v>
      </c>
      <c r="F208" s="15">
        <v>1053</v>
      </c>
      <c r="G208" s="15">
        <v>1052</v>
      </c>
      <c r="H208" s="15">
        <v>136</v>
      </c>
      <c r="I208" s="15">
        <v>136</v>
      </c>
      <c r="J208" s="15">
        <v>0</v>
      </c>
      <c r="K208" s="15" t="s">
        <v>235</v>
      </c>
      <c r="L208" s="15">
        <v>0.5</v>
      </c>
      <c r="M208" s="15" t="s">
        <v>649</v>
      </c>
      <c r="N208" s="15" t="s">
        <v>235</v>
      </c>
      <c r="O208" s="15">
        <v>39</v>
      </c>
      <c r="P208" s="15">
        <v>44</v>
      </c>
      <c r="Q208" s="15" t="s">
        <v>235</v>
      </c>
      <c r="R208" s="15" t="s">
        <v>235</v>
      </c>
      <c r="S208" s="15" t="s">
        <v>235</v>
      </c>
      <c r="T208" s="15" t="s">
        <v>235</v>
      </c>
      <c r="U208" s="15">
        <v>1</v>
      </c>
      <c r="V208" s="15" t="s">
        <v>235</v>
      </c>
      <c r="W208" s="15">
        <v>1</v>
      </c>
      <c r="X208" s="15">
        <v>8</v>
      </c>
      <c r="Y208" s="15">
        <v>1016</v>
      </c>
      <c r="Z208" s="15">
        <v>1022</v>
      </c>
      <c r="AA208" s="15" t="s">
        <v>235</v>
      </c>
      <c r="AB208" s="15" t="s">
        <v>590</v>
      </c>
    </row>
    <row r="209" spans="1:28">
      <c r="A209" s="15" t="s">
        <v>591</v>
      </c>
      <c r="B209" s="166" t="str">
        <f t="shared" si="3"/>
        <v>391</v>
      </c>
      <c r="C209" s="15">
        <v>33</v>
      </c>
      <c r="D209" s="15">
        <v>10899</v>
      </c>
      <c r="E209" s="15">
        <v>1021</v>
      </c>
      <c r="F209" s="15">
        <v>1053</v>
      </c>
      <c r="G209" s="15">
        <v>1052</v>
      </c>
      <c r="H209" s="15">
        <v>137</v>
      </c>
      <c r="I209" s="15">
        <v>137</v>
      </c>
      <c r="J209" s="15">
        <v>0</v>
      </c>
      <c r="K209" s="15" t="s">
        <v>235</v>
      </c>
      <c r="L209" s="15">
        <v>0.5</v>
      </c>
      <c r="M209" s="15" t="s">
        <v>649</v>
      </c>
      <c r="N209" s="15" t="s">
        <v>235</v>
      </c>
      <c r="O209" s="15">
        <v>39</v>
      </c>
      <c r="P209" s="15">
        <v>44</v>
      </c>
      <c r="Q209" s="15" t="s">
        <v>235</v>
      </c>
      <c r="R209" s="15" t="s">
        <v>235</v>
      </c>
      <c r="S209" s="15" t="s">
        <v>235</v>
      </c>
      <c r="T209" s="15" t="s">
        <v>235</v>
      </c>
      <c r="U209" s="15">
        <v>1</v>
      </c>
      <c r="V209" s="15" t="s">
        <v>235</v>
      </c>
      <c r="W209" s="15">
        <v>1</v>
      </c>
      <c r="X209" s="15">
        <v>8</v>
      </c>
      <c r="Y209" s="15">
        <v>1016</v>
      </c>
      <c r="Z209" s="15">
        <v>1022</v>
      </c>
      <c r="AA209" s="15" t="s">
        <v>235</v>
      </c>
      <c r="AB209" s="15" t="s">
        <v>591</v>
      </c>
    </row>
    <row r="210" spans="1:28">
      <c r="A210" s="15" t="s">
        <v>592</v>
      </c>
      <c r="B210" s="166" t="str">
        <f t="shared" si="3"/>
        <v>392</v>
      </c>
      <c r="C210" s="15">
        <v>33</v>
      </c>
      <c r="D210" s="15">
        <v>10899</v>
      </c>
      <c r="E210" s="15">
        <v>1021</v>
      </c>
      <c r="F210" s="15">
        <v>1053</v>
      </c>
      <c r="G210" s="15">
        <v>1052</v>
      </c>
      <c r="H210" s="15">
        <v>138</v>
      </c>
      <c r="I210" s="15">
        <v>138</v>
      </c>
      <c r="J210" s="15">
        <v>0</v>
      </c>
      <c r="K210" s="15" t="s">
        <v>235</v>
      </c>
      <c r="L210" s="15">
        <v>0.5</v>
      </c>
      <c r="M210" s="15" t="s">
        <v>649</v>
      </c>
      <c r="N210" s="15" t="s">
        <v>235</v>
      </c>
      <c r="O210" s="15">
        <v>40</v>
      </c>
      <c r="P210" s="15">
        <v>7</v>
      </c>
      <c r="Q210" s="15" t="s">
        <v>235</v>
      </c>
      <c r="R210" s="15" t="s">
        <v>235</v>
      </c>
      <c r="S210" s="15" t="s">
        <v>235</v>
      </c>
      <c r="T210" s="15" t="s">
        <v>235</v>
      </c>
      <c r="U210" s="15">
        <v>1</v>
      </c>
      <c r="V210" s="15" t="s">
        <v>235</v>
      </c>
      <c r="W210" s="15">
        <v>1</v>
      </c>
      <c r="X210" s="15">
        <v>8</v>
      </c>
      <c r="Y210" s="15">
        <v>1016</v>
      </c>
      <c r="Z210" s="15">
        <v>1022</v>
      </c>
      <c r="AA210" s="15" t="s">
        <v>235</v>
      </c>
      <c r="AB210" s="15" t="s">
        <v>592</v>
      </c>
    </row>
    <row r="211" spans="1:28">
      <c r="A211" s="15" t="s">
        <v>593</v>
      </c>
      <c r="B211" s="166" t="str">
        <f t="shared" si="3"/>
        <v>392</v>
      </c>
      <c r="C211" s="15">
        <v>33</v>
      </c>
      <c r="D211" s="15">
        <v>10899</v>
      </c>
      <c r="E211" s="15">
        <v>1021</v>
      </c>
      <c r="F211" s="15">
        <v>1053</v>
      </c>
      <c r="G211" s="15">
        <v>1052</v>
      </c>
      <c r="H211" s="15">
        <v>139</v>
      </c>
      <c r="I211" s="15">
        <v>139</v>
      </c>
      <c r="J211" s="15">
        <v>0</v>
      </c>
      <c r="K211" s="15" t="s">
        <v>235</v>
      </c>
      <c r="L211" s="15">
        <v>0.5</v>
      </c>
      <c r="M211" s="15" t="s">
        <v>649</v>
      </c>
      <c r="N211" s="15" t="s">
        <v>235</v>
      </c>
      <c r="O211" s="15">
        <v>40</v>
      </c>
      <c r="P211" s="15">
        <v>8</v>
      </c>
      <c r="Q211" s="15" t="s">
        <v>235</v>
      </c>
      <c r="R211" s="15" t="s">
        <v>235</v>
      </c>
      <c r="S211" s="15" t="s">
        <v>235</v>
      </c>
      <c r="T211" s="15" t="s">
        <v>235</v>
      </c>
      <c r="U211" s="15">
        <v>1</v>
      </c>
      <c r="V211" s="15" t="s">
        <v>235</v>
      </c>
      <c r="W211" s="15">
        <v>1</v>
      </c>
      <c r="X211" s="15">
        <v>8</v>
      </c>
      <c r="Y211" s="15">
        <v>1016</v>
      </c>
      <c r="Z211" s="15">
        <v>1022</v>
      </c>
      <c r="AA211" s="15" t="s">
        <v>235</v>
      </c>
      <c r="AB211" s="15" t="s">
        <v>593</v>
      </c>
    </row>
    <row r="212" spans="1:28">
      <c r="A212" s="15" t="s">
        <v>594</v>
      </c>
      <c r="B212" s="166" t="str">
        <f t="shared" si="3"/>
        <v>392</v>
      </c>
      <c r="C212" s="15">
        <v>33</v>
      </c>
      <c r="D212" s="15">
        <v>10899</v>
      </c>
      <c r="E212" s="15">
        <v>1021</v>
      </c>
      <c r="F212" s="15">
        <v>1053</v>
      </c>
      <c r="G212" s="15">
        <v>1052</v>
      </c>
      <c r="H212" s="15">
        <v>140</v>
      </c>
      <c r="I212" s="15">
        <v>140</v>
      </c>
      <c r="J212" s="15">
        <v>0</v>
      </c>
      <c r="K212" s="15" t="s">
        <v>235</v>
      </c>
      <c r="L212" s="15">
        <v>0.5</v>
      </c>
      <c r="M212" s="15" t="s">
        <v>649</v>
      </c>
      <c r="N212" s="15" t="s">
        <v>235</v>
      </c>
      <c r="O212" s="15">
        <v>40</v>
      </c>
      <c r="P212" s="15">
        <v>9</v>
      </c>
      <c r="Q212" s="15" t="s">
        <v>235</v>
      </c>
      <c r="R212" s="15" t="s">
        <v>235</v>
      </c>
      <c r="S212" s="15" t="s">
        <v>235</v>
      </c>
      <c r="T212" s="15" t="s">
        <v>235</v>
      </c>
      <c r="U212" s="15">
        <v>1</v>
      </c>
      <c r="V212" s="15" t="s">
        <v>235</v>
      </c>
      <c r="W212" s="15">
        <v>1</v>
      </c>
      <c r="X212" s="15">
        <v>8</v>
      </c>
      <c r="Y212" s="15">
        <v>1016</v>
      </c>
      <c r="Z212" s="15">
        <v>1022</v>
      </c>
      <c r="AA212" s="15" t="s">
        <v>235</v>
      </c>
      <c r="AB212" s="15" t="s">
        <v>594</v>
      </c>
    </row>
    <row r="213" spans="1:28">
      <c r="A213" s="15" t="s">
        <v>595</v>
      </c>
      <c r="B213" s="166" t="str">
        <f t="shared" si="3"/>
        <v>392</v>
      </c>
      <c r="C213" s="15">
        <v>33</v>
      </c>
      <c r="D213" s="15">
        <v>10899</v>
      </c>
      <c r="E213" s="15">
        <v>1021</v>
      </c>
      <c r="F213" s="15">
        <v>1053</v>
      </c>
      <c r="G213" s="15">
        <v>1052</v>
      </c>
      <c r="H213" s="15">
        <v>141</v>
      </c>
      <c r="I213" s="15">
        <v>141</v>
      </c>
      <c r="J213" s="15">
        <v>0</v>
      </c>
      <c r="K213" s="15" t="s">
        <v>235</v>
      </c>
      <c r="L213" s="15">
        <v>0.5</v>
      </c>
      <c r="M213" s="15" t="s">
        <v>649</v>
      </c>
      <c r="N213" s="15" t="s">
        <v>235</v>
      </c>
      <c r="O213" s="15">
        <v>40</v>
      </c>
      <c r="P213" s="15">
        <v>10</v>
      </c>
      <c r="Q213" s="15" t="s">
        <v>235</v>
      </c>
      <c r="R213" s="15" t="s">
        <v>235</v>
      </c>
      <c r="S213" s="15" t="s">
        <v>235</v>
      </c>
      <c r="T213" s="15" t="s">
        <v>235</v>
      </c>
      <c r="U213" s="15">
        <v>1</v>
      </c>
      <c r="V213" s="15" t="s">
        <v>235</v>
      </c>
      <c r="W213" s="15">
        <v>1</v>
      </c>
      <c r="X213" s="15">
        <v>8</v>
      </c>
      <c r="Y213" s="15">
        <v>1016</v>
      </c>
      <c r="Z213" s="15">
        <v>1022</v>
      </c>
      <c r="AA213" s="15" t="s">
        <v>235</v>
      </c>
      <c r="AB213" s="15" t="s">
        <v>595</v>
      </c>
    </row>
    <row r="214" spans="1:28">
      <c r="A214" s="15" t="s">
        <v>596</v>
      </c>
      <c r="B214" s="166" t="str">
        <f t="shared" si="3"/>
        <v>392</v>
      </c>
      <c r="C214" s="15">
        <v>33</v>
      </c>
      <c r="D214" s="15">
        <v>10899</v>
      </c>
      <c r="E214" s="15">
        <v>1021</v>
      </c>
      <c r="F214" s="15">
        <v>1053</v>
      </c>
      <c r="G214" s="15">
        <v>1052</v>
      </c>
      <c r="H214" s="15">
        <v>142</v>
      </c>
      <c r="I214" s="15">
        <v>142</v>
      </c>
      <c r="J214" s="15">
        <v>0</v>
      </c>
      <c r="K214" s="15" t="s">
        <v>235</v>
      </c>
      <c r="L214" s="15">
        <v>0.5</v>
      </c>
      <c r="M214" s="15" t="s">
        <v>649</v>
      </c>
      <c r="N214" s="15" t="s">
        <v>235</v>
      </c>
      <c r="O214" s="15">
        <v>40</v>
      </c>
      <c r="P214" s="15">
        <v>11</v>
      </c>
      <c r="Q214" s="15" t="s">
        <v>235</v>
      </c>
      <c r="R214" s="15" t="s">
        <v>235</v>
      </c>
      <c r="S214" s="15" t="s">
        <v>235</v>
      </c>
      <c r="T214" s="15" t="s">
        <v>235</v>
      </c>
      <c r="U214" s="15">
        <v>1</v>
      </c>
      <c r="V214" s="15" t="s">
        <v>235</v>
      </c>
      <c r="W214" s="15">
        <v>1</v>
      </c>
      <c r="X214" s="15">
        <v>8</v>
      </c>
      <c r="Y214" s="15">
        <v>1016</v>
      </c>
      <c r="Z214" s="15">
        <v>1022</v>
      </c>
      <c r="AA214" s="15" t="s">
        <v>235</v>
      </c>
      <c r="AB214" s="15" t="s">
        <v>596</v>
      </c>
    </row>
    <row r="215" spans="1:28">
      <c r="A215" s="15" t="s">
        <v>597</v>
      </c>
      <c r="B215" s="166" t="str">
        <f t="shared" si="3"/>
        <v>392</v>
      </c>
      <c r="C215" s="15">
        <v>33</v>
      </c>
      <c r="D215" s="15">
        <v>10899</v>
      </c>
      <c r="E215" s="15">
        <v>1021</v>
      </c>
      <c r="F215" s="15">
        <v>1053</v>
      </c>
      <c r="G215" s="15">
        <v>1052</v>
      </c>
      <c r="H215" s="15">
        <v>143</v>
      </c>
      <c r="I215" s="15">
        <v>143</v>
      </c>
      <c r="J215" s="15">
        <v>0</v>
      </c>
      <c r="K215" s="15" t="s">
        <v>235</v>
      </c>
      <c r="L215" s="15">
        <v>0.5</v>
      </c>
      <c r="M215" s="15" t="s">
        <v>649</v>
      </c>
      <c r="N215" s="15" t="s">
        <v>235</v>
      </c>
      <c r="O215" s="15">
        <v>40</v>
      </c>
      <c r="P215" s="15">
        <v>12</v>
      </c>
      <c r="Q215" s="15" t="s">
        <v>235</v>
      </c>
      <c r="R215" s="15" t="s">
        <v>235</v>
      </c>
      <c r="S215" s="15" t="s">
        <v>235</v>
      </c>
      <c r="T215" s="15" t="s">
        <v>235</v>
      </c>
      <c r="U215" s="15">
        <v>1</v>
      </c>
      <c r="V215" s="15" t="s">
        <v>235</v>
      </c>
      <c r="W215" s="15">
        <v>1</v>
      </c>
      <c r="X215" s="15">
        <v>8</v>
      </c>
      <c r="Y215" s="15">
        <v>1016</v>
      </c>
      <c r="Z215" s="15">
        <v>1022</v>
      </c>
      <c r="AA215" s="15" t="s">
        <v>235</v>
      </c>
      <c r="AB215" s="15" t="s">
        <v>597</v>
      </c>
    </row>
    <row r="216" spans="1:28">
      <c r="A216" s="15" t="s">
        <v>598</v>
      </c>
      <c r="B216" s="166" t="str">
        <f t="shared" si="3"/>
        <v>392</v>
      </c>
      <c r="C216" s="15">
        <v>33</v>
      </c>
      <c r="D216" s="15">
        <v>10899</v>
      </c>
      <c r="E216" s="15">
        <v>1021</v>
      </c>
      <c r="F216" s="15">
        <v>1053</v>
      </c>
      <c r="G216" s="15">
        <v>1052</v>
      </c>
      <c r="H216" s="15">
        <v>144</v>
      </c>
      <c r="I216" s="15">
        <v>144</v>
      </c>
      <c r="J216" s="15">
        <v>0</v>
      </c>
      <c r="K216" s="15" t="s">
        <v>235</v>
      </c>
      <c r="L216" s="15">
        <v>0.5</v>
      </c>
      <c r="M216" s="15" t="s">
        <v>649</v>
      </c>
      <c r="N216" s="15" t="s">
        <v>235</v>
      </c>
      <c r="O216" s="15">
        <v>40</v>
      </c>
      <c r="P216" s="15">
        <v>13</v>
      </c>
      <c r="Q216" s="15" t="s">
        <v>235</v>
      </c>
      <c r="R216" s="15" t="s">
        <v>235</v>
      </c>
      <c r="S216" s="15" t="s">
        <v>235</v>
      </c>
      <c r="T216" s="15" t="s">
        <v>235</v>
      </c>
      <c r="U216" s="15">
        <v>1</v>
      </c>
      <c r="V216" s="15" t="s">
        <v>235</v>
      </c>
      <c r="W216" s="15">
        <v>1</v>
      </c>
      <c r="X216" s="15">
        <v>8</v>
      </c>
      <c r="Y216" s="15">
        <v>1016</v>
      </c>
      <c r="Z216" s="15">
        <v>1022</v>
      </c>
      <c r="AA216" s="15" t="s">
        <v>235</v>
      </c>
      <c r="AB216" s="15" t="s">
        <v>598</v>
      </c>
    </row>
    <row r="217" spans="1:28">
      <c r="A217" s="15" t="s">
        <v>599</v>
      </c>
      <c r="B217" s="166" t="str">
        <f t="shared" si="3"/>
        <v>392</v>
      </c>
      <c r="C217" s="15">
        <v>33</v>
      </c>
      <c r="D217" s="15">
        <v>10899</v>
      </c>
      <c r="E217" s="15">
        <v>1021</v>
      </c>
      <c r="F217" s="15">
        <v>1053</v>
      </c>
      <c r="G217" s="15">
        <v>1052</v>
      </c>
      <c r="H217" s="15">
        <v>145</v>
      </c>
      <c r="I217" s="15">
        <v>145</v>
      </c>
      <c r="J217" s="15">
        <v>0</v>
      </c>
      <c r="K217" s="15" t="s">
        <v>235</v>
      </c>
      <c r="L217" s="15">
        <v>0.5</v>
      </c>
      <c r="M217" s="15" t="s">
        <v>649</v>
      </c>
      <c r="N217" s="15" t="s">
        <v>235</v>
      </c>
      <c r="O217" s="15">
        <v>40</v>
      </c>
      <c r="P217" s="15">
        <v>14</v>
      </c>
      <c r="Q217" s="15" t="s">
        <v>235</v>
      </c>
      <c r="R217" s="15" t="s">
        <v>235</v>
      </c>
      <c r="S217" s="15" t="s">
        <v>235</v>
      </c>
      <c r="T217" s="15" t="s">
        <v>235</v>
      </c>
      <c r="U217" s="15">
        <v>1</v>
      </c>
      <c r="V217" s="15" t="s">
        <v>235</v>
      </c>
      <c r="W217" s="15">
        <v>1</v>
      </c>
      <c r="X217" s="15">
        <v>8</v>
      </c>
      <c r="Y217" s="15">
        <v>1016</v>
      </c>
      <c r="Z217" s="15">
        <v>1022</v>
      </c>
      <c r="AA217" s="15" t="s">
        <v>235</v>
      </c>
      <c r="AB217" s="15" t="s">
        <v>599</v>
      </c>
    </row>
    <row r="218" spans="1:28">
      <c r="A218" s="15" t="s">
        <v>600</v>
      </c>
      <c r="B218" s="166" t="str">
        <f t="shared" si="3"/>
        <v>392</v>
      </c>
      <c r="C218" s="15">
        <v>33</v>
      </c>
      <c r="D218" s="15">
        <v>10899</v>
      </c>
      <c r="E218" s="15">
        <v>1021</v>
      </c>
      <c r="F218" s="15">
        <v>1053</v>
      </c>
      <c r="G218" s="15">
        <v>1052</v>
      </c>
      <c r="H218" s="15">
        <v>146</v>
      </c>
      <c r="I218" s="15">
        <v>146</v>
      </c>
      <c r="J218" s="15">
        <v>0</v>
      </c>
      <c r="K218" s="15" t="s">
        <v>235</v>
      </c>
      <c r="L218" s="15">
        <v>0.5</v>
      </c>
      <c r="M218" s="15" t="s">
        <v>649</v>
      </c>
      <c r="N218" s="15" t="s">
        <v>235</v>
      </c>
      <c r="O218" s="15">
        <v>40</v>
      </c>
      <c r="P218" s="15">
        <v>15</v>
      </c>
      <c r="Q218" s="15" t="s">
        <v>235</v>
      </c>
      <c r="R218" s="15" t="s">
        <v>235</v>
      </c>
      <c r="S218" s="15" t="s">
        <v>235</v>
      </c>
      <c r="T218" s="15" t="s">
        <v>235</v>
      </c>
      <c r="U218" s="15">
        <v>1</v>
      </c>
      <c r="V218" s="15" t="s">
        <v>235</v>
      </c>
      <c r="W218" s="15">
        <v>1</v>
      </c>
      <c r="X218" s="15">
        <v>8</v>
      </c>
      <c r="Y218" s="15">
        <v>1016</v>
      </c>
      <c r="Z218" s="15">
        <v>1022</v>
      </c>
      <c r="AA218" s="15" t="s">
        <v>235</v>
      </c>
      <c r="AB218" s="15" t="s">
        <v>600</v>
      </c>
    </row>
    <row r="219" spans="1:28">
      <c r="A219" s="15" t="s">
        <v>601</v>
      </c>
      <c r="B219" s="166" t="str">
        <f t="shared" si="3"/>
        <v>392</v>
      </c>
      <c r="C219" s="15">
        <v>33</v>
      </c>
      <c r="D219" s="15">
        <v>10899</v>
      </c>
      <c r="E219" s="15">
        <v>1021</v>
      </c>
      <c r="F219" s="15">
        <v>1053</v>
      </c>
      <c r="G219" s="15">
        <v>1052</v>
      </c>
      <c r="H219" s="15">
        <v>147</v>
      </c>
      <c r="I219" s="15">
        <v>147</v>
      </c>
      <c r="J219" s="15">
        <v>0</v>
      </c>
      <c r="K219" s="15" t="s">
        <v>235</v>
      </c>
      <c r="L219" s="15">
        <v>0.5</v>
      </c>
      <c r="M219" s="15" t="s">
        <v>649</v>
      </c>
      <c r="N219" s="15" t="s">
        <v>235</v>
      </c>
      <c r="O219" s="15">
        <v>40</v>
      </c>
      <c r="P219" s="15">
        <v>16</v>
      </c>
      <c r="Q219" s="15" t="s">
        <v>235</v>
      </c>
      <c r="R219" s="15" t="s">
        <v>235</v>
      </c>
      <c r="S219" s="15" t="s">
        <v>235</v>
      </c>
      <c r="T219" s="15" t="s">
        <v>235</v>
      </c>
      <c r="U219" s="15">
        <v>1</v>
      </c>
      <c r="V219" s="15" t="s">
        <v>235</v>
      </c>
      <c r="W219" s="15">
        <v>1</v>
      </c>
      <c r="X219" s="15">
        <v>8</v>
      </c>
      <c r="Y219" s="15">
        <v>1016</v>
      </c>
      <c r="Z219" s="15">
        <v>1022</v>
      </c>
      <c r="AA219" s="15" t="s">
        <v>235</v>
      </c>
      <c r="AB219" s="15" t="s">
        <v>601</v>
      </c>
    </row>
    <row r="220" spans="1:28">
      <c r="A220" s="15" t="s">
        <v>656</v>
      </c>
      <c r="B220" s="166" t="str">
        <f t="shared" si="3"/>
        <v>392</v>
      </c>
      <c r="C220" s="15">
        <v>33</v>
      </c>
      <c r="D220" s="15">
        <v>1014</v>
      </c>
      <c r="E220" s="15">
        <v>1019</v>
      </c>
      <c r="F220" s="15">
        <v>1053</v>
      </c>
      <c r="G220" s="15">
        <v>1052</v>
      </c>
      <c r="H220" s="15">
        <v>232</v>
      </c>
      <c r="I220" s="15">
        <v>232</v>
      </c>
      <c r="J220" s="15">
        <v>0</v>
      </c>
      <c r="K220" s="15" t="s">
        <v>235</v>
      </c>
      <c r="L220" s="15">
        <v>0.5</v>
      </c>
      <c r="M220" s="15" t="s">
        <v>649</v>
      </c>
      <c r="N220" s="15" t="s">
        <v>235</v>
      </c>
      <c r="O220" s="15">
        <v>40</v>
      </c>
      <c r="P220" s="15">
        <v>7</v>
      </c>
      <c r="Q220" s="15" t="s">
        <v>235</v>
      </c>
      <c r="R220" s="15" t="s">
        <v>235</v>
      </c>
      <c r="S220" s="15" t="s">
        <v>235</v>
      </c>
      <c r="T220" s="15" t="s">
        <v>235</v>
      </c>
      <c r="U220" s="15">
        <v>1</v>
      </c>
      <c r="V220" s="15" t="s">
        <v>235</v>
      </c>
      <c r="W220" s="15">
        <v>1</v>
      </c>
      <c r="X220" s="15">
        <v>8</v>
      </c>
      <c r="Y220" s="15">
        <v>1043</v>
      </c>
      <c r="Z220" s="15">
        <v>1047</v>
      </c>
      <c r="AA220" s="15" t="s">
        <v>235</v>
      </c>
      <c r="AB220" s="15" t="s">
        <v>656</v>
      </c>
    </row>
    <row r="221" spans="1:28">
      <c r="A221" s="15" t="s">
        <v>602</v>
      </c>
      <c r="B221" s="166" t="str">
        <f t="shared" si="3"/>
        <v>393</v>
      </c>
      <c r="C221" s="15">
        <v>33</v>
      </c>
      <c r="D221" s="15">
        <v>10899</v>
      </c>
      <c r="E221" s="15">
        <v>1021</v>
      </c>
      <c r="F221" s="15">
        <v>1053</v>
      </c>
      <c r="G221" s="15">
        <v>1052</v>
      </c>
      <c r="H221" s="15">
        <v>148</v>
      </c>
      <c r="I221" s="15">
        <v>148</v>
      </c>
      <c r="J221" s="15">
        <v>0</v>
      </c>
      <c r="K221" s="15" t="s">
        <v>235</v>
      </c>
      <c r="L221" s="15">
        <v>0.5</v>
      </c>
      <c r="M221" s="15" t="s">
        <v>649</v>
      </c>
      <c r="N221" s="15" t="s">
        <v>235</v>
      </c>
      <c r="O221" s="15">
        <v>41</v>
      </c>
      <c r="P221" s="15">
        <v>70</v>
      </c>
      <c r="Q221" s="15" t="s">
        <v>235</v>
      </c>
      <c r="R221" s="15" t="s">
        <v>235</v>
      </c>
      <c r="S221" s="15" t="s">
        <v>235</v>
      </c>
      <c r="T221" s="15" t="s">
        <v>235</v>
      </c>
      <c r="U221" s="15">
        <v>1</v>
      </c>
      <c r="V221" s="15" t="s">
        <v>235</v>
      </c>
      <c r="W221" s="15">
        <v>1</v>
      </c>
      <c r="X221" s="15">
        <v>8</v>
      </c>
      <c r="Y221" s="15">
        <v>1016</v>
      </c>
      <c r="Z221" s="15">
        <v>1022</v>
      </c>
      <c r="AA221" s="15" t="s">
        <v>235</v>
      </c>
      <c r="AB221" s="15" t="s">
        <v>602</v>
      </c>
    </row>
    <row r="222" spans="1:28">
      <c r="A222" s="15" t="s">
        <v>603</v>
      </c>
      <c r="B222" s="166" t="str">
        <f t="shared" si="3"/>
        <v>393</v>
      </c>
      <c r="C222" s="15">
        <v>33</v>
      </c>
      <c r="D222" s="15">
        <v>10899</v>
      </c>
      <c r="E222" s="15">
        <v>1021</v>
      </c>
      <c r="F222" s="15">
        <v>1053</v>
      </c>
      <c r="G222" s="15">
        <v>1052</v>
      </c>
      <c r="H222" s="15">
        <v>149</v>
      </c>
      <c r="I222" s="15">
        <v>149</v>
      </c>
      <c r="J222" s="15">
        <v>0</v>
      </c>
      <c r="K222" s="15" t="s">
        <v>235</v>
      </c>
      <c r="L222" s="15">
        <v>0.5</v>
      </c>
      <c r="M222" s="15" t="s">
        <v>649</v>
      </c>
      <c r="N222" s="15" t="s">
        <v>235</v>
      </c>
      <c r="O222" s="15">
        <v>41</v>
      </c>
      <c r="P222" s="15">
        <v>70</v>
      </c>
      <c r="Q222" s="15" t="s">
        <v>235</v>
      </c>
      <c r="R222" s="15" t="s">
        <v>235</v>
      </c>
      <c r="S222" s="15" t="s">
        <v>235</v>
      </c>
      <c r="T222" s="15" t="s">
        <v>235</v>
      </c>
      <c r="U222" s="15">
        <v>1</v>
      </c>
      <c r="V222" s="15" t="s">
        <v>235</v>
      </c>
      <c r="W222" s="15">
        <v>1</v>
      </c>
      <c r="X222" s="15">
        <v>8</v>
      </c>
      <c r="Y222" s="15">
        <v>1016</v>
      </c>
      <c r="Z222" s="15">
        <v>1022</v>
      </c>
      <c r="AA222" s="15" t="s">
        <v>235</v>
      </c>
      <c r="AB222" s="15" t="s">
        <v>603</v>
      </c>
    </row>
    <row r="223" spans="1:28">
      <c r="A223" s="15" t="s">
        <v>604</v>
      </c>
      <c r="B223" s="166" t="str">
        <f t="shared" si="3"/>
        <v>393</v>
      </c>
      <c r="C223" s="15">
        <v>33</v>
      </c>
      <c r="D223" s="15">
        <v>10899</v>
      </c>
      <c r="E223" s="15">
        <v>1021</v>
      </c>
      <c r="F223" s="15">
        <v>1053</v>
      </c>
      <c r="G223" s="15">
        <v>1052</v>
      </c>
      <c r="H223" s="15">
        <v>150</v>
      </c>
      <c r="I223" s="15">
        <v>150</v>
      </c>
      <c r="J223" s="15">
        <v>0</v>
      </c>
      <c r="K223" s="15" t="s">
        <v>235</v>
      </c>
      <c r="L223" s="15">
        <v>0.5</v>
      </c>
      <c r="M223" s="15" t="s">
        <v>649</v>
      </c>
      <c r="N223" s="15" t="s">
        <v>235</v>
      </c>
      <c r="O223" s="15">
        <v>41</v>
      </c>
      <c r="P223" s="15">
        <v>70</v>
      </c>
      <c r="Q223" s="15" t="s">
        <v>235</v>
      </c>
      <c r="R223" s="15" t="s">
        <v>235</v>
      </c>
      <c r="S223" s="15" t="s">
        <v>235</v>
      </c>
      <c r="T223" s="15" t="s">
        <v>235</v>
      </c>
      <c r="U223" s="15">
        <v>1</v>
      </c>
      <c r="V223" s="15" t="s">
        <v>235</v>
      </c>
      <c r="W223" s="15">
        <v>1</v>
      </c>
      <c r="X223" s="15">
        <v>8</v>
      </c>
      <c r="Y223" s="15">
        <v>1016</v>
      </c>
      <c r="Z223" s="15">
        <v>1022</v>
      </c>
      <c r="AA223" s="15" t="s">
        <v>235</v>
      </c>
      <c r="AB223" s="15" t="s">
        <v>604</v>
      </c>
    </row>
    <row r="224" spans="1:28">
      <c r="A224" s="15" t="s">
        <v>605</v>
      </c>
      <c r="B224" s="166" t="str">
        <f t="shared" si="3"/>
        <v>393</v>
      </c>
      <c r="C224" s="15">
        <v>33</v>
      </c>
      <c r="D224" s="15">
        <v>10899</v>
      </c>
      <c r="E224" s="15">
        <v>1021</v>
      </c>
      <c r="F224" s="15">
        <v>1053</v>
      </c>
      <c r="G224" s="15">
        <v>1052</v>
      </c>
      <c r="H224" s="15">
        <v>151</v>
      </c>
      <c r="I224" s="15">
        <v>151</v>
      </c>
      <c r="J224" s="15">
        <v>0</v>
      </c>
      <c r="K224" s="15" t="s">
        <v>235</v>
      </c>
      <c r="L224" s="15">
        <v>0.5</v>
      </c>
      <c r="M224" s="15" t="s">
        <v>649</v>
      </c>
      <c r="N224" s="15" t="s">
        <v>235</v>
      </c>
      <c r="O224" s="15">
        <v>41</v>
      </c>
      <c r="P224" s="15">
        <v>70</v>
      </c>
      <c r="Q224" s="15" t="s">
        <v>235</v>
      </c>
      <c r="R224" s="15" t="s">
        <v>235</v>
      </c>
      <c r="S224" s="15" t="s">
        <v>235</v>
      </c>
      <c r="T224" s="15" t="s">
        <v>235</v>
      </c>
      <c r="U224" s="15">
        <v>1</v>
      </c>
      <c r="V224" s="15" t="s">
        <v>235</v>
      </c>
      <c r="W224" s="15">
        <v>1</v>
      </c>
      <c r="X224" s="15">
        <v>8</v>
      </c>
      <c r="Y224" s="15">
        <v>1016</v>
      </c>
      <c r="Z224" s="15">
        <v>1022</v>
      </c>
      <c r="AA224" s="15" t="s">
        <v>235</v>
      </c>
      <c r="AB224" s="15" t="s">
        <v>605</v>
      </c>
    </row>
    <row r="225" spans="1:28">
      <c r="A225" s="15" t="s">
        <v>606</v>
      </c>
      <c r="B225" s="166" t="str">
        <f t="shared" si="3"/>
        <v>393</v>
      </c>
      <c r="C225" s="15">
        <v>33</v>
      </c>
      <c r="D225" s="15">
        <v>10899</v>
      </c>
      <c r="E225" s="15">
        <v>1021</v>
      </c>
      <c r="F225" s="15">
        <v>1053</v>
      </c>
      <c r="G225" s="15">
        <v>1052</v>
      </c>
      <c r="H225" s="15">
        <v>152</v>
      </c>
      <c r="I225" s="15">
        <v>152</v>
      </c>
      <c r="J225" s="15">
        <v>0</v>
      </c>
      <c r="K225" s="15" t="s">
        <v>235</v>
      </c>
      <c r="L225" s="15">
        <v>0.5</v>
      </c>
      <c r="M225" s="15" t="s">
        <v>649</v>
      </c>
      <c r="N225" s="15" t="s">
        <v>235</v>
      </c>
      <c r="O225" s="15">
        <v>41</v>
      </c>
      <c r="P225" s="15">
        <v>70</v>
      </c>
      <c r="Q225" s="15" t="s">
        <v>235</v>
      </c>
      <c r="R225" s="15" t="s">
        <v>235</v>
      </c>
      <c r="S225" s="15" t="s">
        <v>235</v>
      </c>
      <c r="T225" s="15" t="s">
        <v>235</v>
      </c>
      <c r="U225" s="15">
        <v>1</v>
      </c>
      <c r="V225" s="15" t="s">
        <v>235</v>
      </c>
      <c r="W225" s="15">
        <v>1</v>
      </c>
      <c r="X225" s="15">
        <v>8</v>
      </c>
      <c r="Y225" s="15">
        <v>1016</v>
      </c>
      <c r="Z225" s="15">
        <v>1022</v>
      </c>
      <c r="AA225" s="15" t="s">
        <v>235</v>
      </c>
      <c r="AB225" s="15" t="s">
        <v>606</v>
      </c>
    </row>
    <row r="226" spans="1:28">
      <c r="A226" s="15" t="s">
        <v>655</v>
      </c>
      <c r="B226" s="166" t="str">
        <f t="shared" si="3"/>
        <v>393</v>
      </c>
      <c r="C226" s="15">
        <v>33</v>
      </c>
      <c r="D226" s="15">
        <v>1014</v>
      </c>
      <c r="E226" s="15">
        <v>1019</v>
      </c>
      <c r="F226" s="15">
        <v>1053</v>
      </c>
      <c r="G226" s="15">
        <v>1052</v>
      </c>
      <c r="H226" s="15">
        <v>233</v>
      </c>
      <c r="I226" s="15">
        <v>233</v>
      </c>
      <c r="J226" s="15">
        <v>0</v>
      </c>
      <c r="K226" s="15" t="s">
        <v>235</v>
      </c>
      <c r="L226" s="15">
        <v>0.5</v>
      </c>
      <c r="M226" s="15" t="s">
        <v>649</v>
      </c>
      <c r="N226" s="15" t="s">
        <v>235</v>
      </c>
      <c r="O226" s="15">
        <v>41</v>
      </c>
      <c r="P226" s="15">
        <v>70</v>
      </c>
      <c r="Q226" s="15" t="s">
        <v>235</v>
      </c>
      <c r="R226" s="15" t="s">
        <v>235</v>
      </c>
      <c r="S226" s="15" t="s">
        <v>235</v>
      </c>
      <c r="T226" s="15" t="s">
        <v>235</v>
      </c>
      <c r="U226" s="15">
        <v>1</v>
      </c>
      <c r="V226" s="15" t="s">
        <v>235</v>
      </c>
      <c r="W226" s="15">
        <v>1</v>
      </c>
      <c r="X226" s="15">
        <v>8</v>
      </c>
      <c r="Y226" s="15">
        <v>1043</v>
      </c>
      <c r="Z226" s="15">
        <v>1047</v>
      </c>
      <c r="AA226" s="15" t="s">
        <v>235</v>
      </c>
      <c r="AB226" s="15" t="s">
        <v>655</v>
      </c>
    </row>
    <row r="227" spans="1:28">
      <c r="A227" s="15" t="s">
        <v>654</v>
      </c>
      <c r="B227" s="166" t="str">
        <f t="shared" si="3"/>
        <v>393</v>
      </c>
      <c r="C227" s="15">
        <v>33</v>
      </c>
      <c r="D227" s="15">
        <v>1014</v>
      </c>
      <c r="E227" s="15">
        <v>1019</v>
      </c>
      <c r="F227" s="15">
        <v>1053</v>
      </c>
      <c r="G227" s="15">
        <v>1052</v>
      </c>
      <c r="H227" s="15">
        <v>234</v>
      </c>
      <c r="I227" s="15">
        <v>234</v>
      </c>
      <c r="J227" s="15">
        <v>0</v>
      </c>
      <c r="K227" s="15" t="s">
        <v>235</v>
      </c>
      <c r="L227" s="15">
        <v>0.5</v>
      </c>
      <c r="M227" s="15" t="s">
        <v>649</v>
      </c>
      <c r="N227" s="15" t="s">
        <v>235</v>
      </c>
      <c r="O227" s="15">
        <v>41</v>
      </c>
      <c r="P227" s="15">
        <v>70</v>
      </c>
      <c r="Q227" s="15" t="s">
        <v>235</v>
      </c>
      <c r="R227" s="15" t="s">
        <v>235</v>
      </c>
      <c r="S227" s="15" t="s">
        <v>235</v>
      </c>
      <c r="T227" s="15" t="s">
        <v>235</v>
      </c>
      <c r="U227" s="15">
        <v>1</v>
      </c>
      <c r="V227" s="15" t="s">
        <v>235</v>
      </c>
      <c r="W227" s="15">
        <v>1</v>
      </c>
      <c r="X227" s="15">
        <v>8</v>
      </c>
      <c r="Y227" s="15">
        <v>1043</v>
      </c>
      <c r="Z227" s="15">
        <v>1047</v>
      </c>
      <c r="AA227" s="15" t="s">
        <v>235</v>
      </c>
      <c r="AB227" s="15" t="s">
        <v>654</v>
      </c>
    </row>
    <row r="228" spans="1:28">
      <c r="A228" s="15" t="s">
        <v>607</v>
      </c>
      <c r="B228" s="166" t="str">
        <f t="shared" si="3"/>
        <v>394</v>
      </c>
      <c r="C228" s="15">
        <v>33</v>
      </c>
      <c r="D228" s="15">
        <v>10899</v>
      </c>
      <c r="E228" s="15">
        <v>1021</v>
      </c>
      <c r="F228" s="15">
        <v>1053</v>
      </c>
      <c r="G228" s="15">
        <v>1052</v>
      </c>
      <c r="H228" s="15">
        <v>153</v>
      </c>
      <c r="I228" s="15">
        <v>153</v>
      </c>
      <c r="J228" s="15">
        <v>0</v>
      </c>
      <c r="K228" s="15" t="s">
        <v>235</v>
      </c>
      <c r="L228" s="15">
        <v>0.5</v>
      </c>
      <c r="M228" s="15" t="s">
        <v>649</v>
      </c>
      <c r="N228" s="15" t="s">
        <v>235</v>
      </c>
      <c r="O228" s="15">
        <v>42</v>
      </c>
      <c r="P228" s="15">
        <v>70</v>
      </c>
      <c r="Q228" s="15" t="s">
        <v>235</v>
      </c>
      <c r="R228" s="15" t="s">
        <v>235</v>
      </c>
      <c r="S228" s="15" t="s">
        <v>235</v>
      </c>
      <c r="T228" s="15" t="s">
        <v>235</v>
      </c>
      <c r="U228" s="15">
        <v>1</v>
      </c>
      <c r="V228" s="15" t="s">
        <v>235</v>
      </c>
      <c r="W228" s="15">
        <v>1</v>
      </c>
      <c r="X228" s="15">
        <v>8</v>
      </c>
      <c r="Y228" s="15">
        <v>1016</v>
      </c>
      <c r="Z228" s="15">
        <v>1022</v>
      </c>
      <c r="AA228" s="15" t="s">
        <v>235</v>
      </c>
      <c r="AB228" s="15" t="s">
        <v>607</v>
      </c>
    </row>
    <row r="229" spans="1:28">
      <c r="A229" s="15" t="s">
        <v>608</v>
      </c>
      <c r="B229" s="166" t="str">
        <f t="shared" si="3"/>
        <v>394</v>
      </c>
      <c r="C229" s="15">
        <v>33</v>
      </c>
      <c r="D229" s="15">
        <v>10899</v>
      </c>
      <c r="E229" s="15">
        <v>1021</v>
      </c>
      <c r="F229" s="15">
        <v>1053</v>
      </c>
      <c r="G229" s="15">
        <v>1052</v>
      </c>
      <c r="H229" s="15">
        <v>154</v>
      </c>
      <c r="I229" s="15">
        <v>154</v>
      </c>
      <c r="J229" s="15">
        <v>0</v>
      </c>
      <c r="K229" s="15" t="s">
        <v>235</v>
      </c>
      <c r="L229" s="15">
        <v>0.5</v>
      </c>
      <c r="M229" s="15" t="s">
        <v>649</v>
      </c>
      <c r="N229" s="15" t="s">
        <v>235</v>
      </c>
      <c r="O229" s="15">
        <v>42</v>
      </c>
      <c r="P229" s="15">
        <v>70</v>
      </c>
      <c r="Q229" s="15" t="s">
        <v>235</v>
      </c>
      <c r="R229" s="15" t="s">
        <v>235</v>
      </c>
      <c r="S229" s="15" t="s">
        <v>235</v>
      </c>
      <c r="T229" s="15" t="s">
        <v>235</v>
      </c>
      <c r="U229" s="15">
        <v>1</v>
      </c>
      <c r="V229" s="15" t="s">
        <v>235</v>
      </c>
      <c r="W229" s="15">
        <v>1</v>
      </c>
      <c r="X229" s="15">
        <v>8</v>
      </c>
      <c r="Y229" s="15">
        <v>1016</v>
      </c>
      <c r="Z229" s="15">
        <v>1022</v>
      </c>
      <c r="AA229" s="15" t="s">
        <v>235</v>
      </c>
      <c r="AB229" s="15" t="s">
        <v>608</v>
      </c>
    </row>
    <row r="230" spans="1:28">
      <c r="A230" s="15" t="s">
        <v>609</v>
      </c>
      <c r="B230" s="166" t="str">
        <f t="shared" si="3"/>
        <v>394</v>
      </c>
      <c r="C230" s="15">
        <v>33</v>
      </c>
      <c r="D230" s="15">
        <v>10899</v>
      </c>
      <c r="E230" s="15">
        <v>1021</v>
      </c>
      <c r="F230" s="15">
        <v>1053</v>
      </c>
      <c r="G230" s="15">
        <v>1052</v>
      </c>
      <c r="H230" s="15">
        <v>155</v>
      </c>
      <c r="I230" s="15">
        <v>155</v>
      </c>
      <c r="J230" s="15">
        <v>0</v>
      </c>
      <c r="K230" s="15" t="s">
        <v>235</v>
      </c>
      <c r="L230" s="15">
        <v>0.5</v>
      </c>
      <c r="M230" s="15" t="s">
        <v>649</v>
      </c>
      <c r="N230" s="15" t="s">
        <v>235</v>
      </c>
      <c r="O230" s="15">
        <v>42</v>
      </c>
      <c r="P230" s="15">
        <v>70</v>
      </c>
      <c r="Q230" s="15" t="s">
        <v>235</v>
      </c>
      <c r="R230" s="15" t="s">
        <v>235</v>
      </c>
      <c r="S230" s="15" t="s">
        <v>235</v>
      </c>
      <c r="T230" s="15" t="s">
        <v>235</v>
      </c>
      <c r="U230" s="15">
        <v>1</v>
      </c>
      <c r="V230" s="15" t="s">
        <v>235</v>
      </c>
      <c r="W230" s="15">
        <v>1</v>
      </c>
      <c r="X230" s="15">
        <v>8</v>
      </c>
      <c r="Y230" s="15">
        <v>1016</v>
      </c>
      <c r="Z230" s="15">
        <v>1022</v>
      </c>
      <c r="AA230" s="15" t="s">
        <v>235</v>
      </c>
      <c r="AB230" s="15" t="s">
        <v>609</v>
      </c>
    </row>
    <row r="231" spans="1:28">
      <c r="A231" s="15" t="s">
        <v>610</v>
      </c>
      <c r="B231" s="166" t="str">
        <f t="shared" si="3"/>
        <v>394</v>
      </c>
      <c r="C231" s="15">
        <v>33</v>
      </c>
      <c r="D231" s="15">
        <v>10899</v>
      </c>
      <c r="E231" s="15">
        <v>1021</v>
      </c>
      <c r="F231" s="15">
        <v>1053</v>
      </c>
      <c r="G231" s="15">
        <v>1052</v>
      </c>
      <c r="H231" s="15">
        <v>156</v>
      </c>
      <c r="I231" s="15">
        <v>156</v>
      </c>
      <c r="J231" s="15">
        <v>0</v>
      </c>
      <c r="K231" s="15" t="s">
        <v>235</v>
      </c>
      <c r="L231" s="15">
        <v>0.5</v>
      </c>
      <c r="M231" s="15" t="s">
        <v>649</v>
      </c>
      <c r="N231" s="15" t="s">
        <v>235</v>
      </c>
      <c r="O231" s="15">
        <v>42</v>
      </c>
      <c r="P231" s="15">
        <v>70</v>
      </c>
      <c r="Q231" s="15" t="s">
        <v>235</v>
      </c>
      <c r="R231" s="15" t="s">
        <v>235</v>
      </c>
      <c r="S231" s="15" t="s">
        <v>235</v>
      </c>
      <c r="T231" s="15" t="s">
        <v>235</v>
      </c>
      <c r="U231" s="15">
        <v>1</v>
      </c>
      <c r="V231" s="15" t="s">
        <v>235</v>
      </c>
      <c r="W231" s="15">
        <v>1</v>
      </c>
      <c r="X231" s="15">
        <v>8</v>
      </c>
      <c r="Y231" s="15">
        <v>1016</v>
      </c>
      <c r="Z231" s="15">
        <v>1022</v>
      </c>
      <c r="AA231" s="15" t="s">
        <v>235</v>
      </c>
      <c r="AB231" s="15" t="s">
        <v>610</v>
      </c>
    </row>
    <row r="232" spans="1:28">
      <c r="A232" s="15" t="s">
        <v>611</v>
      </c>
      <c r="B232" s="166" t="str">
        <f t="shared" si="3"/>
        <v>394</v>
      </c>
      <c r="C232" s="15">
        <v>33</v>
      </c>
      <c r="D232" s="15">
        <v>10899</v>
      </c>
      <c r="E232" s="15">
        <v>1021</v>
      </c>
      <c r="F232" s="15">
        <v>1053</v>
      </c>
      <c r="G232" s="15">
        <v>1052</v>
      </c>
      <c r="H232" s="15">
        <v>157</v>
      </c>
      <c r="I232" s="15">
        <v>157</v>
      </c>
      <c r="J232" s="15">
        <v>0</v>
      </c>
      <c r="K232" s="15" t="s">
        <v>235</v>
      </c>
      <c r="L232" s="15">
        <v>0.5</v>
      </c>
      <c r="M232" s="15" t="s">
        <v>649</v>
      </c>
      <c r="N232" s="15" t="s">
        <v>235</v>
      </c>
      <c r="O232" s="15">
        <v>42</v>
      </c>
      <c r="P232" s="15">
        <v>70</v>
      </c>
      <c r="Q232" s="15" t="s">
        <v>235</v>
      </c>
      <c r="R232" s="15" t="s">
        <v>235</v>
      </c>
      <c r="S232" s="15" t="s">
        <v>235</v>
      </c>
      <c r="T232" s="15" t="s">
        <v>235</v>
      </c>
      <c r="U232" s="15">
        <v>1</v>
      </c>
      <c r="V232" s="15" t="s">
        <v>235</v>
      </c>
      <c r="W232" s="15">
        <v>1</v>
      </c>
      <c r="X232" s="15">
        <v>8</v>
      </c>
      <c r="Y232" s="15">
        <v>1016</v>
      </c>
      <c r="Z232" s="15">
        <v>1022</v>
      </c>
      <c r="AA232" s="15" t="s">
        <v>235</v>
      </c>
      <c r="AB232" s="15" t="s">
        <v>611</v>
      </c>
    </row>
    <row r="233" spans="1:28">
      <c r="A233" s="15" t="s">
        <v>612</v>
      </c>
      <c r="B233" s="166" t="str">
        <f t="shared" si="3"/>
        <v>394</v>
      </c>
      <c r="C233" s="15">
        <v>33</v>
      </c>
      <c r="D233" s="15">
        <v>10899</v>
      </c>
      <c r="E233" s="15">
        <v>1021</v>
      </c>
      <c r="F233" s="15">
        <v>1053</v>
      </c>
      <c r="G233" s="15">
        <v>1052</v>
      </c>
      <c r="H233" s="15">
        <v>158</v>
      </c>
      <c r="I233" s="15">
        <v>158</v>
      </c>
      <c r="J233" s="15">
        <v>0</v>
      </c>
      <c r="K233" s="15" t="s">
        <v>235</v>
      </c>
      <c r="L233" s="15">
        <v>0.5</v>
      </c>
      <c r="M233" s="15" t="s">
        <v>649</v>
      </c>
      <c r="N233" s="15" t="s">
        <v>235</v>
      </c>
      <c r="O233" s="15">
        <v>42</v>
      </c>
      <c r="P233" s="15">
        <v>70</v>
      </c>
      <c r="Q233" s="15" t="s">
        <v>235</v>
      </c>
      <c r="R233" s="15" t="s">
        <v>235</v>
      </c>
      <c r="S233" s="15" t="s">
        <v>235</v>
      </c>
      <c r="T233" s="15" t="s">
        <v>235</v>
      </c>
      <c r="U233" s="15">
        <v>1</v>
      </c>
      <c r="V233" s="15" t="s">
        <v>235</v>
      </c>
      <c r="W233" s="15">
        <v>1</v>
      </c>
      <c r="X233" s="15">
        <v>8</v>
      </c>
      <c r="Y233" s="15">
        <v>1016</v>
      </c>
      <c r="Z233" s="15">
        <v>1022</v>
      </c>
      <c r="AA233" s="15" t="s">
        <v>235</v>
      </c>
      <c r="AB233" s="15" t="s">
        <v>612</v>
      </c>
    </row>
    <row r="234" spans="1:28">
      <c r="A234" s="15" t="s">
        <v>613</v>
      </c>
      <c r="B234" s="166" t="str">
        <f t="shared" si="3"/>
        <v>394</v>
      </c>
      <c r="C234" s="15">
        <v>33</v>
      </c>
      <c r="D234" s="15">
        <v>10899</v>
      </c>
      <c r="E234" s="15">
        <v>1021</v>
      </c>
      <c r="F234" s="15">
        <v>1053</v>
      </c>
      <c r="G234" s="15">
        <v>1052</v>
      </c>
      <c r="H234" s="15">
        <v>159</v>
      </c>
      <c r="I234" s="15">
        <v>159</v>
      </c>
      <c r="J234" s="15">
        <v>0</v>
      </c>
      <c r="K234" s="15" t="s">
        <v>235</v>
      </c>
      <c r="L234" s="15">
        <v>0.5</v>
      </c>
      <c r="M234" s="15" t="s">
        <v>649</v>
      </c>
      <c r="N234" s="15" t="s">
        <v>235</v>
      </c>
      <c r="O234" s="15">
        <v>42</v>
      </c>
      <c r="P234" s="15">
        <v>70</v>
      </c>
      <c r="Q234" s="15" t="s">
        <v>235</v>
      </c>
      <c r="R234" s="15" t="s">
        <v>235</v>
      </c>
      <c r="S234" s="15" t="s">
        <v>235</v>
      </c>
      <c r="T234" s="15" t="s">
        <v>235</v>
      </c>
      <c r="U234" s="15">
        <v>1</v>
      </c>
      <c r="V234" s="15" t="s">
        <v>235</v>
      </c>
      <c r="W234" s="15">
        <v>1</v>
      </c>
      <c r="X234" s="15">
        <v>8</v>
      </c>
      <c r="Y234" s="15">
        <v>1016</v>
      </c>
      <c r="Z234" s="15">
        <v>1022</v>
      </c>
      <c r="AA234" s="15" t="s">
        <v>235</v>
      </c>
      <c r="AB234" s="15" t="s">
        <v>613</v>
      </c>
    </row>
    <row r="235" spans="1:28">
      <c r="A235" s="15" t="s">
        <v>614</v>
      </c>
      <c r="B235" s="166" t="str">
        <f t="shared" si="3"/>
        <v>394</v>
      </c>
      <c r="C235" s="15">
        <v>33</v>
      </c>
      <c r="D235" s="15">
        <v>10899</v>
      </c>
      <c r="E235" s="15">
        <v>1021</v>
      </c>
      <c r="F235" s="15">
        <v>1053</v>
      </c>
      <c r="G235" s="15">
        <v>1052</v>
      </c>
      <c r="H235" s="15">
        <v>10256</v>
      </c>
      <c r="I235" s="15">
        <v>23260253</v>
      </c>
      <c r="J235" s="15">
        <v>0</v>
      </c>
      <c r="K235" s="15" t="s">
        <v>235</v>
      </c>
      <c r="L235" s="15">
        <v>0.5</v>
      </c>
      <c r="M235" s="15" t="s">
        <v>649</v>
      </c>
      <c r="N235" s="15" t="s">
        <v>235</v>
      </c>
      <c r="O235" s="15">
        <v>42</v>
      </c>
      <c r="P235" s="15">
        <v>70</v>
      </c>
      <c r="Q235" s="15" t="s">
        <v>235</v>
      </c>
      <c r="R235" s="15" t="s">
        <v>235</v>
      </c>
      <c r="S235" s="15" t="s">
        <v>235</v>
      </c>
      <c r="T235" s="15" t="s">
        <v>235</v>
      </c>
      <c r="U235" s="15">
        <v>1</v>
      </c>
      <c r="V235" s="15" t="s">
        <v>235</v>
      </c>
      <c r="W235" s="15">
        <v>1</v>
      </c>
      <c r="X235" s="15">
        <v>8</v>
      </c>
      <c r="Y235" s="15">
        <v>1016</v>
      </c>
      <c r="Z235" s="15">
        <v>1022</v>
      </c>
      <c r="AA235" s="15" t="s">
        <v>235</v>
      </c>
      <c r="AB235" s="15" t="s">
        <v>614</v>
      </c>
    </row>
    <row r="236" spans="1:28">
      <c r="A236" s="15" t="s">
        <v>653</v>
      </c>
      <c r="B236" s="166" t="str">
        <f t="shared" si="3"/>
        <v>394</v>
      </c>
      <c r="C236" s="15">
        <v>33</v>
      </c>
      <c r="D236" s="15">
        <v>1014</v>
      </c>
      <c r="E236" s="15">
        <v>1019</v>
      </c>
      <c r="F236" s="15">
        <v>1053</v>
      </c>
      <c r="G236" s="15">
        <v>1052</v>
      </c>
      <c r="H236" s="15">
        <v>235</v>
      </c>
      <c r="I236" s="15">
        <v>235</v>
      </c>
      <c r="J236" s="15">
        <v>0</v>
      </c>
      <c r="K236" s="15" t="s">
        <v>235</v>
      </c>
      <c r="L236" s="15">
        <v>0.5</v>
      </c>
      <c r="M236" s="15" t="s">
        <v>649</v>
      </c>
      <c r="N236" s="15" t="s">
        <v>235</v>
      </c>
      <c r="O236" s="15">
        <v>42</v>
      </c>
      <c r="P236" s="15">
        <v>70</v>
      </c>
      <c r="Q236" s="15" t="s">
        <v>235</v>
      </c>
      <c r="R236" s="15" t="s">
        <v>235</v>
      </c>
      <c r="S236" s="15" t="s">
        <v>235</v>
      </c>
      <c r="T236" s="15" t="s">
        <v>235</v>
      </c>
      <c r="U236" s="15">
        <v>1</v>
      </c>
      <c r="V236" s="15" t="s">
        <v>235</v>
      </c>
      <c r="W236" s="15">
        <v>1</v>
      </c>
      <c r="X236" s="15">
        <v>8</v>
      </c>
      <c r="Y236" s="15">
        <v>1043</v>
      </c>
      <c r="Z236" s="15">
        <v>1047</v>
      </c>
      <c r="AA236" s="15" t="s">
        <v>235</v>
      </c>
      <c r="AB236" s="15" t="s">
        <v>653</v>
      </c>
    </row>
    <row r="237" spans="1:28">
      <c r="A237" s="15" t="s">
        <v>615</v>
      </c>
      <c r="B237" s="166" t="str">
        <f t="shared" si="3"/>
        <v>395</v>
      </c>
      <c r="C237" s="15">
        <v>33</v>
      </c>
      <c r="D237" s="15">
        <v>10899</v>
      </c>
      <c r="E237" s="15">
        <v>1021</v>
      </c>
      <c r="F237" s="15">
        <v>1053</v>
      </c>
      <c r="G237" s="15">
        <v>1052</v>
      </c>
      <c r="H237" s="15">
        <v>160</v>
      </c>
      <c r="I237" s="15">
        <v>160</v>
      </c>
      <c r="J237" s="15">
        <v>0</v>
      </c>
      <c r="K237" s="15" t="s">
        <v>235</v>
      </c>
      <c r="L237" s="15">
        <v>0.5</v>
      </c>
      <c r="M237" s="15" t="s">
        <v>649</v>
      </c>
      <c r="N237" s="15" t="s">
        <v>235</v>
      </c>
      <c r="O237" s="15">
        <v>43</v>
      </c>
      <c r="P237" s="15">
        <v>70</v>
      </c>
      <c r="Q237" s="15" t="s">
        <v>235</v>
      </c>
      <c r="R237" s="15" t="s">
        <v>235</v>
      </c>
      <c r="S237" s="15" t="s">
        <v>235</v>
      </c>
      <c r="T237" s="15" t="s">
        <v>235</v>
      </c>
      <c r="U237" s="15">
        <v>1</v>
      </c>
      <c r="V237" s="15" t="s">
        <v>235</v>
      </c>
      <c r="W237" s="15">
        <v>1</v>
      </c>
      <c r="X237" s="15">
        <v>8</v>
      </c>
      <c r="Y237" s="15">
        <v>1016</v>
      </c>
      <c r="Z237" s="15">
        <v>1022</v>
      </c>
      <c r="AA237" s="15" t="s">
        <v>235</v>
      </c>
      <c r="AB237" s="15" t="s">
        <v>615</v>
      </c>
    </row>
    <row r="238" spans="1:28">
      <c r="A238" s="15" t="s">
        <v>616</v>
      </c>
      <c r="B238" s="166" t="str">
        <f t="shared" si="3"/>
        <v>395</v>
      </c>
      <c r="C238" s="15">
        <v>33</v>
      </c>
      <c r="D238" s="15">
        <v>10899</v>
      </c>
      <c r="E238" s="15">
        <v>1021</v>
      </c>
      <c r="F238" s="15">
        <v>1053</v>
      </c>
      <c r="G238" s="15">
        <v>1052</v>
      </c>
      <c r="H238" s="15">
        <v>161</v>
      </c>
      <c r="I238" s="15">
        <v>161</v>
      </c>
      <c r="J238" s="15">
        <v>0</v>
      </c>
      <c r="K238" s="15" t="s">
        <v>235</v>
      </c>
      <c r="L238" s="15">
        <v>0.5</v>
      </c>
      <c r="M238" s="15" t="s">
        <v>649</v>
      </c>
      <c r="N238" s="15" t="s">
        <v>235</v>
      </c>
      <c r="O238" s="15">
        <v>43</v>
      </c>
      <c r="P238" s="15">
        <v>70</v>
      </c>
      <c r="Q238" s="15" t="s">
        <v>235</v>
      </c>
      <c r="R238" s="15" t="s">
        <v>235</v>
      </c>
      <c r="S238" s="15" t="s">
        <v>235</v>
      </c>
      <c r="T238" s="15" t="s">
        <v>235</v>
      </c>
      <c r="U238" s="15">
        <v>1</v>
      </c>
      <c r="V238" s="15" t="s">
        <v>235</v>
      </c>
      <c r="W238" s="15">
        <v>1</v>
      </c>
      <c r="X238" s="15">
        <v>8</v>
      </c>
      <c r="Y238" s="15">
        <v>1016</v>
      </c>
      <c r="Z238" s="15">
        <v>1022</v>
      </c>
      <c r="AA238" s="15" t="s">
        <v>235</v>
      </c>
      <c r="AB238" s="15" t="s">
        <v>616</v>
      </c>
    </row>
    <row r="239" spans="1:28">
      <c r="A239" s="15" t="s">
        <v>617</v>
      </c>
      <c r="B239" s="166" t="str">
        <f t="shared" si="3"/>
        <v>395</v>
      </c>
      <c r="C239" s="15">
        <v>33</v>
      </c>
      <c r="D239" s="15">
        <v>10899</v>
      </c>
      <c r="E239" s="15">
        <v>1021</v>
      </c>
      <c r="F239" s="15">
        <v>1053</v>
      </c>
      <c r="G239" s="15">
        <v>1052</v>
      </c>
      <c r="H239" s="15">
        <v>162</v>
      </c>
      <c r="I239" s="15">
        <v>162</v>
      </c>
      <c r="J239" s="15">
        <v>0</v>
      </c>
      <c r="K239" s="15" t="s">
        <v>235</v>
      </c>
      <c r="L239" s="15">
        <v>0.5</v>
      </c>
      <c r="M239" s="15" t="s">
        <v>649</v>
      </c>
      <c r="N239" s="15" t="s">
        <v>235</v>
      </c>
      <c r="O239" s="15">
        <v>43</v>
      </c>
      <c r="P239" s="15">
        <v>70</v>
      </c>
      <c r="Q239" s="15" t="s">
        <v>235</v>
      </c>
      <c r="R239" s="15" t="s">
        <v>235</v>
      </c>
      <c r="S239" s="15" t="s">
        <v>235</v>
      </c>
      <c r="T239" s="15" t="s">
        <v>235</v>
      </c>
      <c r="U239" s="15">
        <v>1</v>
      </c>
      <c r="V239" s="15" t="s">
        <v>235</v>
      </c>
      <c r="W239" s="15">
        <v>1</v>
      </c>
      <c r="X239" s="15">
        <v>8</v>
      </c>
      <c r="Y239" s="15">
        <v>1016</v>
      </c>
      <c r="Z239" s="15">
        <v>1022</v>
      </c>
      <c r="AA239" s="15" t="s">
        <v>235</v>
      </c>
      <c r="AB239" s="15" t="s">
        <v>617</v>
      </c>
    </row>
    <row r="240" spans="1:28">
      <c r="A240" s="15" t="s">
        <v>618</v>
      </c>
      <c r="B240" s="166" t="str">
        <f t="shared" si="3"/>
        <v>395</v>
      </c>
      <c r="C240" s="15">
        <v>33</v>
      </c>
      <c r="D240" s="15">
        <v>10899</v>
      </c>
      <c r="E240" s="15">
        <v>1021</v>
      </c>
      <c r="F240" s="15">
        <v>1053</v>
      </c>
      <c r="G240" s="15">
        <v>1052</v>
      </c>
      <c r="H240" s="15">
        <v>160</v>
      </c>
      <c r="I240" s="15">
        <v>9988618</v>
      </c>
      <c r="J240" s="15">
        <v>0</v>
      </c>
      <c r="K240" s="15" t="s">
        <v>235</v>
      </c>
      <c r="L240" s="15">
        <v>0.5</v>
      </c>
      <c r="M240" s="15" t="s">
        <v>649</v>
      </c>
      <c r="N240" s="15" t="s">
        <v>235</v>
      </c>
      <c r="O240" s="15">
        <v>43</v>
      </c>
      <c r="P240" s="15">
        <v>70</v>
      </c>
      <c r="Q240" s="15" t="s">
        <v>235</v>
      </c>
      <c r="R240" s="15" t="s">
        <v>235</v>
      </c>
      <c r="S240" s="15" t="s">
        <v>235</v>
      </c>
      <c r="T240" s="15" t="s">
        <v>235</v>
      </c>
      <c r="U240" s="15">
        <v>0</v>
      </c>
      <c r="V240" s="15" t="s">
        <v>235</v>
      </c>
      <c r="W240" s="15">
        <v>1</v>
      </c>
      <c r="X240" s="15">
        <v>8</v>
      </c>
      <c r="Y240" s="15">
        <v>1016</v>
      </c>
      <c r="Z240" s="15">
        <v>1022</v>
      </c>
      <c r="AA240" s="15" t="s">
        <v>235</v>
      </c>
      <c r="AB240" s="15" t="s">
        <v>618</v>
      </c>
    </row>
    <row r="241" spans="1:28">
      <c r="A241" s="15" t="s">
        <v>619</v>
      </c>
      <c r="B241" s="166" t="str">
        <f t="shared" si="3"/>
        <v>395</v>
      </c>
      <c r="C241" s="15">
        <v>33</v>
      </c>
      <c r="D241" s="15">
        <v>10899</v>
      </c>
      <c r="E241" s="15">
        <v>1021</v>
      </c>
      <c r="F241" s="15">
        <v>1053</v>
      </c>
      <c r="G241" s="15">
        <v>1052</v>
      </c>
      <c r="H241" s="15">
        <v>163</v>
      </c>
      <c r="I241" s="15">
        <v>163</v>
      </c>
      <c r="J241" s="15">
        <v>0</v>
      </c>
      <c r="K241" s="15" t="s">
        <v>235</v>
      </c>
      <c r="L241" s="15">
        <v>0.5</v>
      </c>
      <c r="M241" s="15" t="s">
        <v>649</v>
      </c>
      <c r="N241" s="15" t="s">
        <v>235</v>
      </c>
      <c r="O241" s="15">
        <v>43</v>
      </c>
      <c r="P241" s="15">
        <v>70</v>
      </c>
      <c r="Q241" s="15" t="s">
        <v>235</v>
      </c>
      <c r="R241" s="15" t="s">
        <v>235</v>
      </c>
      <c r="S241" s="15" t="s">
        <v>235</v>
      </c>
      <c r="T241" s="15" t="s">
        <v>235</v>
      </c>
      <c r="U241" s="15">
        <v>1</v>
      </c>
      <c r="V241" s="15" t="s">
        <v>235</v>
      </c>
      <c r="W241" s="15">
        <v>1</v>
      </c>
      <c r="X241" s="15">
        <v>8</v>
      </c>
      <c r="Y241" s="15">
        <v>1016</v>
      </c>
      <c r="Z241" s="15">
        <v>1022</v>
      </c>
      <c r="AA241" s="15" t="s">
        <v>235</v>
      </c>
      <c r="AB241" s="15" t="s">
        <v>619</v>
      </c>
    </row>
    <row r="242" spans="1:28">
      <c r="A242" s="15" t="s">
        <v>620</v>
      </c>
      <c r="B242" s="166" t="str">
        <f t="shared" si="3"/>
        <v>395</v>
      </c>
      <c r="C242" s="15">
        <v>33</v>
      </c>
      <c r="D242" s="15">
        <v>10899</v>
      </c>
      <c r="E242" s="15">
        <v>1021</v>
      </c>
      <c r="F242" s="15">
        <v>1053</v>
      </c>
      <c r="G242" s="15">
        <v>1052</v>
      </c>
      <c r="H242" s="15">
        <v>164</v>
      </c>
      <c r="I242" s="15">
        <v>164</v>
      </c>
      <c r="J242" s="15">
        <v>0</v>
      </c>
      <c r="K242" s="15" t="s">
        <v>235</v>
      </c>
      <c r="L242" s="15">
        <v>0.5</v>
      </c>
      <c r="M242" s="15" t="s">
        <v>649</v>
      </c>
      <c r="N242" s="15" t="s">
        <v>235</v>
      </c>
      <c r="O242" s="15">
        <v>43</v>
      </c>
      <c r="P242" s="15">
        <v>70</v>
      </c>
      <c r="Q242" s="15" t="s">
        <v>235</v>
      </c>
      <c r="R242" s="15" t="s">
        <v>235</v>
      </c>
      <c r="S242" s="15" t="s">
        <v>235</v>
      </c>
      <c r="T242" s="15" t="s">
        <v>235</v>
      </c>
      <c r="U242" s="15">
        <v>1</v>
      </c>
      <c r="V242" s="15" t="s">
        <v>235</v>
      </c>
      <c r="W242" s="15">
        <v>1</v>
      </c>
      <c r="X242" s="15">
        <v>8</v>
      </c>
      <c r="Y242" s="15">
        <v>1016</v>
      </c>
      <c r="Z242" s="15">
        <v>1022</v>
      </c>
      <c r="AA242" s="15" t="s">
        <v>235</v>
      </c>
      <c r="AB242" s="15" t="s">
        <v>620</v>
      </c>
    </row>
    <row r="243" spans="1:28">
      <c r="A243" s="15" t="s">
        <v>621</v>
      </c>
      <c r="B243" s="166" t="str">
        <f t="shared" si="3"/>
        <v>395</v>
      </c>
      <c r="C243" s="15">
        <v>33</v>
      </c>
      <c r="D243" s="15">
        <v>10899</v>
      </c>
      <c r="E243" s="15">
        <v>1021</v>
      </c>
      <c r="F243" s="15">
        <v>1053</v>
      </c>
      <c r="G243" s="15">
        <v>1052</v>
      </c>
      <c r="H243" s="15">
        <v>165</v>
      </c>
      <c r="I243" s="15">
        <v>165</v>
      </c>
      <c r="J243" s="15">
        <v>0</v>
      </c>
      <c r="K243" s="15" t="s">
        <v>235</v>
      </c>
      <c r="L243" s="15">
        <v>0.5</v>
      </c>
      <c r="M243" s="15" t="s">
        <v>649</v>
      </c>
      <c r="N243" s="15" t="s">
        <v>235</v>
      </c>
      <c r="O243" s="15">
        <v>43</v>
      </c>
      <c r="P243" s="15">
        <v>70</v>
      </c>
      <c r="Q243" s="15" t="s">
        <v>235</v>
      </c>
      <c r="R243" s="15" t="s">
        <v>235</v>
      </c>
      <c r="S243" s="15" t="s">
        <v>235</v>
      </c>
      <c r="T243" s="15" t="s">
        <v>235</v>
      </c>
      <c r="U243" s="15">
        <v>1</v>
      </c>
      <c r="V243" s="15" t="s">
        <v>235</v>
      </c>
      <c r="W243" s="15">
        <v>1</v>
      </c>
      <c r="X243" s="15">
        <v>8</v>
      </c>
      <c r="Y243" s="15">
        <v>1016</v>
      </c>
      <c r="Z243" s="15">
        <v>1022</v>
      </c>
      <c r="AA243" s="15" t="s">
        <v>235</v>
      </c>
      <c r="AB243" s="15" t="s">
        <v>621</v>
      </c>
    </row>
    <row r="244" spans="1:28">
      <c r="A244" s="15" t="s">
        <v>652</v>
      </c>
      <c r="B244" s="166" t="str">
        <f t="shared" si="3"/>
        <v>395</v>
      </c>
      <c r="C244" s="15">
        <v>33</v>
      </c>
      <c r="D244" s="15">
        <v>1014</v>
      </c>
      <c r="E244" s="15">
        <v>1019</v>
      </c>
      <c r="F244" s="15">
        <v>1053</v>
      </c>
      <c r="G244" s="15">
        <v>1052</v>
      </c>
      <c r="H244" s="15">
        <v>236</v>
      </c>
      <c r="I244" s="15">
        <v>236</v>
      </c>
      <c r="J244" s="15">
        <v>0</v>
      </c>
      <c r="K244" s="15" t="s">
        <v>235</v>
      </c>
      <c r="L244" s="15">
        <v>0.5</v>
      </c>
      <c r="M244" s="15" t="s">
        <v>649</v>
      </c>
      <c r="N244" s="15" t="s">
        <v>235</v>
      </c>
      <c r="O244" s="15">
        <v>43</v>
      </c>
      <c r="P244" s="15">
        <v>70</v>
      </c>
      <c r="Q244" s="15" t="s">
        <v>235</v>
      </c>
      <c r="R244" s="15" t="s">
        <v>235</v>
      </c>
      <c r="S244" s="15" t="s">
        <v>235</v>
      </c>
      <c r="T244" s="15" t="s">
        <v>235</v>
      </c>
      <c r="U244" s="15">
        <v>1</v>
      </c>
      <c r="V244" s="15" t="s">
        <v>235</v>
      </c>
      <c r="W244" s="15">
        <v>1</v>
      </c>
      <c r="X244" s="15">
        <v>8</v>
      </c>
      <c r="Y244" s="15">
        <v>1043</v>
      </c>
      <c r="Z244" s="15">
        <v>1047</v>
      </c>
      <c r="AA244" s="15" t="s">
        <v>235</v>
      </c>
      <c r="AB244" s="15" t="s">
        <v>652</v>
      </c>
    </row>
    <row r="245" spans="1:28">
      <c r="A245" s="15" t="s">
        <v>622</v>
      </c>
      <c r="B245" s="166" t="str">
        <f t="shared" si="3"/>
        <v>396</v>
      </c>
      <c r="C245" s="15">
        <v>33</v>
      </c>
      <c r="D245" s="15">
        <v>10899</v>
      </c>
      <c r="E245" s="15">
        <v>1021</v>
      </c>
      <c r="F245" s="15">
        <v>1053</v>
      </c>
      <c r="G245" s="15">
        <v>1052</v>
      </c>
      <c r="H245" s="15">
        <v>166</v>
      </c>
      <c r="I245" s="15">
        <v>166</v>
      </c>
      <c r="J245" s="15">
        <v>0</v>
      </c>
      <c r="K245" s="15" t="s">
        <v>235</v>
      </c>
      <c r="L245" s="15">
        <v>0.5</v>
      </c>
      <c r="M245" s="15" t="s">
        <v>649</v>
      </c>
      <c r="N245" s="15" t="s">
        <v>235</v>
      </c>
      <c r="O245" s="15">
        <v>44</v>
      </c>
      <c r="P245" s="15">
        <v>70</v>
      </c>
      <c r="Q245" s="15" t="s">
        <v>235</v>
      </c>
      <c r="R245" s="15" t="s">
        <v>235</v>
      </c>
      <c r="S245" s="15" t="s">
        <v>235</v>
      </c>
      <c r="T245" s="15" t="s">
        <v>235</v>
      </c>
      <c r="U245" s="15">
        <v>1</v>
      </c>
      <c r="V245" s="15" t="s">
        <v>235</v>
      </c>
      <c r="W245" s="15">
        <v>1</v>
      </c>
      <c r="X245" s="15">
        <v>8</v>
      </c>
      <c r="Y245" s="15">
        <v>1016</v>
      </c>
      <c r="Z245" s="15">
        <v>1022</v>
      </c>
      <c r="AA245" s="15" t="s">
        <v>235</v>
      </c>
      <c r="AB245" s="15" t="s">
        <v>622</v>
      </c>
    </row>
    <row r="246" spans="1:28">
      <c r="A246" s="15" t="s">
        <v>623</v>
      </c>
      <c r="B246" s="166" t="str">
        <f t="shared" si="3"/>
        <v>396</v>
      </c>
      <c r="C246" s="15">
        <v>33</v>
      </c>
      <c r="D246" s="15">
        <v>10899</v>
      </c>
      <c r="E246" s="15">
        <v>1021</v>
      </c>
      <c r="F246" s="15">
        <v>1053</v>
      </c>
      <c r="G246" s="15">
        <v>1052</v>
      </c>
      <c r="H246" s="15">
        <v>167</v>
      </c>
      <c r="I246" s="15">
        <v>167</v>
      </c>
      <c r="J246" s="15">
        <v>0</v>
      </c>
      <c r="K246" s="15" t="s">
        <v>235</v>
      </c>
      <c r="L246" s="15">
        <v>0.5</v>
      </c>
      <c r="M246" s="15" t="s">
        <v>649</v>
      </c>
      <c r="N246" s="15" t="s">
        <v>235</v>
      </c>
      <c r="O246" s="15">
        <v>44</v>
      </c>
      <c r="P246" s="15">
        <v>70</v>
      </c>
      <c r="Q246" s="15" t="s">
        <v>235</v>
      </c>
      <c r="R246" s="15" t="s">
        <v>235</v>
      </c>
      <c r="S246" s="15" t="s">
        <v>235</v>
      </c>
      <c r="T246" s="15" t="s">
        <v>235</v>
      </c>
      <c r="U246" s="15">
        <v>1</v>
      </c>
      <c r="V246" s="15" t="s">
        <v>235</v>
      </c>
      <c r="W246" s="15">
        <v>1</v>
      </c>
      <c r="X246" s="15">
        <v>8</v>
      </c>
      <c r="Y246" s="15">
        <v>1016</v>
      </c>
      <c r="Z246" s="15">
        <v>1022</v>
      </c>
      <c r="AA246" s="15" t="s">
        <v>235</v>
      </c>
      <c r="AB246" s="15" t="s">
        <v>623</v>
      </c>
    </row>
    <row r="247" spans="1:28">
      <c r="A247" s="15" t="s">
        <v>624</v>
      </c>
      <c r="B247" s="166" t="str">
        <f t="shared" si="3"/>
        <v>396</v>
      </c>
      <c r="C247" s="15">
        <v>33</v>
      </c>
      <c r="D247" s="15">
        <v>10899</v>
      </c>
      <c r="E247" s="15">
        <v>1021</v>
      </c>
      <c r="F247" s="15">
        <v>1053</v>
      </c>
      <c r="G247" s="15">
        <v>1052</v>
      </c>
      <c r="H247" s="15">
        <v>168</v>
      </c>
      <c r="I247" s="15">
        <v>168</v>
      </c>
      <c r="J247" s="15">
        <v>0</v>
      </c>
      <c r="K247" s="15" t="s">
        <v>235</v>
      </c>
      <c r="L247" s="15">
        <v>0.5</v>
      </c>
      <c r="M247" s="15" t="s">
        <v>649</v>
      </c>
      <c r="N247" s="15" t="s">
        <v>235</v>
      </c>
      <c r="O247" s="15">
        <v>44</v>
      </c>
      <c r="P247" s="15">
        <v>70</v>
      </c>
      <c r="Q247" s="15" t="s">
        <v>235</v>
      </c>
      <c r="R247" s="15" t="s">
        <v>235</v>
      </c>
      <c r="S247" s="15" t="s">
        <v>235</v>
      </c>
      <c r="T247" s="15" t="s">
        <v>235</v>
      </c>
      <c r="U247" s="15">
        <v>1</v>
      </c>
      <c r="V247" s="15" t="s">
        <v>235</v>
      </c>
      <c r="W247" s="15">
        <v>1</v>
      </c>
      <c r="X247" s="15">
        <v>8</v>
      </c>
      <c r="Y247" s="15">
        <v>1016</v>
      </c>
      <c r="Z247" s="15">
        <v>1022</v>
      </c>
      <c r="AA247" s="15" t="s">
        <v>235</v>
      </c>
      <c r="AB247" s="15" t="s">
        <v>624</v>
      </c>
    </row>
    <row r="248" spans="1:28">
      <c r="A248" s="15" t="s">
        <v>625</v>
      </c>
      <c r="B248" s="166" t="str">
        <f t="shared" si="3"/>
        <v>396</v>
      </c>
      <c r="C248" s="15">
        <v>33</v>
      </c>
      <c r="D248" s="15">
        <v>10899</v>
      </c>
      <c r="E248" s="15">
        <v>1021</v>
      </c>
      <c r="F248" s="15">
        <v>1053</v>
      </c>
      <c r="G248" s="15">
        <v>1052</v>
      </c>
      <c r="H248" s="15">
        <v>169</v>
      </c>
      <c r="I248" s="15">
        <v>169</v>
      </c>
      <c r="J248" s="15">
        <v>0</v>
      </c>
      <c r="K248" s="15" t="s">
        <v>235</v>
      </c>
      <c r="L248" s="15">
        <v>0.5</v>
      </c>
      <c r="M248" s="15" t="s">
        <v>649</v>
      </c>
      <c r="N248" s="15" t="s">
        <v>235</v>
      </c>
      <c r="O248" s="15">
        <v>44</v>
      </c>
      <c r="P248" s="15">
        <v>70</v>
      </c>
      <c r="Q248" s="15" t="s">
        <v>235</v>
      </c>
      <c r="R248" s="15" t="s">
        <v>235</v>
      </c>
      <c r="S248" s="15" t="s">
        <v>235</v>
      </c>
      <c r="T248" s="15" t="s">
        <v>235</v>
      </c>
      <c r="U248" s="15">
        <v>1</v>
      </c>
      <c r="V248" s="15" t="s">
        <v>235</v>
      </c>
      <c r="W248" s="15">
        <v>1</v>
      </c>
      <c r="X248" s="15">
        <v>8</v>
      </c>
      <c r="Y248" s="15">
        <v>1016</v>
      </c>
      <c r="Z248" s="15">
        <v>1022</v>
      </c>
      <c r="AA248" s="15" t="s">
        <v>235</v>
      </c>
      <c r="AB248" s="15" t="s">
        <v>625</v>
      </c>
    </row>
    <row r="249" spans="1:28">
      <c r="A249" s="15" t="s">
        <v>626</v>
      </c>
      <c r="B249" s="166" t="str">
        <f t="shared" si="3"/>
        <v>396</v>
      </c>
      <c r="C249" s="15">
        <v>33</v>
      </c>
      <c r="D249" s="15">
        <v>10899</v>
      </c>
      <c r="E249" s="15">
        <v>1021</v>
      </c>
      <c r="F249" s="15">
        <v>1053</v>
      </c>
      <c r="G249" s="15">
        <v>1052</v>
      </c>
      <c r="H249" s="15">
        <v>170</v>
      </c>
      <c r="I249" s="15">
        <v>170</v>
      </c>
      <c r="J249" s="15">
        <v>0</v>
      </c>
      <c r="K249" s="15" t="s">
        <v>235</v>
      </c>
      <c r="L249" s="15">
        <v>0.5</v>
      </c>
      <c r="M249" s="15" t="s">
        <v>649</v>
      </c>
      <c r="N249" s="15" t="s">
        <v>235</v>
      </c>
      <c r="O249" s="15">
        <v>44</v>
      </c>
      <c r="P249" s="15">
        <v>70</v>
      </c>
      <c r="Q249" s="15" t="s">
        <v>235</v>
      </c>
      <c r="R249" s="15" t="s">
        <v>235</v>
      </c>
      <c r="S249" s="15" t="s">
        <v>235</v>
      </c>
      <c r="T249" s="15" t="s">
        <v>235</v>
      </c>
      <c r="U249" s="15">
        <v>1</v>
      </c>
      <c r="V249" s="15" t="s">
        <v>235</v>
      </c>
      <c r="W249" s="15">
        <v>1</v>
      </c>
      <c r="X249" s="15">
        <v>8</v>
      </c>
      <c r="Y249" s="15">
        <v>1016</v>
      </c>
      <c r="Z249" s="15">
        <v>1022</v>
      </c>
      <c r="AA249" s="15" t="s">
        <v>235</v>
      </c>
      <c r="AB249" s="15" t="s">
        <v>626</v>
      </c>
    </row>
    <row r="250" spans="1:28">
      <c r="A250" s="15" t="s">
        <v>627</v>
      </c>
      <c r="B250" s="166" t="str">
        <f t="shared" si="3"/>
        <v>396</v>
      </c>
      <c r="C250" s="15">
        <v>33</v>
      </c>
      <c r="D250" s="15">
        <v>10899</v>
      </c>
      <c r="E250" s="15">
        <v>1021</v>
      </c>
      <c r="F250" s="15">
        <v>1053</v>
      </c>
      <c r="G250" s="15">
        <v>1052</v>
      </c>
      <c r="H250" s="15">
        <v>171</v>
      </c>
      <c r="I250" s="15">
        <v>171</v>
      </c>
      <c r="J250" s="15">
        <v>0</v>
      </c>
      <c r="K250" s="15" t="s">
        <v>235</v>
      </c>
      <c r="L250" s="15">
        <v>0.5</v>
      </c>
      <c r="M250" s="15" t="s">
        <v>649</v>
      </c>
      <c r="N250" s="15" t="s">
        <v>235</v>
      </c>
      <c r="O250" s="15">
        <v>44</v>
      </c>
      <c r="P250" s="15">
        <v>70</v>
      </c>
      <c r="Q250" s="15" t="s">
        <v>235</v>
      </c>
      <c r="R250" s="15" t="s">
        <v>235</v>
      </c>
      <c r="S250" s="15" t="s">
        <v>235</v>
      </c>
      <c r="T250" s="15" t="s">
        <v>235</v>
      </c>
      <c r="U250" s="15">
        <v>1</v>
      </c>
      <c r="V250" s="15" t="s">
        <v>235</v>
      </c>
      <c r="W250" s="15">
        <v>1</v>
      </c>
      <c r="X250" s="15">
        <v>8</v>
      </c>
      <c r="Y250" s="15">
        <v>1016</v>
      </c>
      <c r="Z250" s="15">
        <v>1022</v>
      </c>
      <c r="AA250" s="15" t="s">
        <v>235</v>
      </c>
      <c r="AB250" s="15" t="s">
        <v>627</v>
      </c>
    </row>
    <row r="251" spans="1:28">
      <c r="A251" s="15" t="s">
        <v>628</v>
      </c>
      <c r="B251" s="166" t="str">
        <f t="shared" si="3"/>
        <v>396</v>
      </c>
      <c r="C251" s="15">
        <v>33</v>
      </c>
      <c r="D251" s="15">
        <v>10899</v>
      </c>
      <c r="E251" s="15">
        <v>1021</v>
      </c>
      <c r="F251" s="15">
        <v>1053</v>
      </c>
      <c r="G251" s="15">
        <v>1052</v>
      </c>
      <c r="H251" s="15">
        <v>172</v>
      </c>
      <c r="I251" s="15">
        <v>172</v>
      </c>
      <c r="J251" s="15">
        <v>0</v>
      </c>
      <c r="K251" s="15" t="s">
        <v>235</v>
      </c>
      <c r="L251" s="15">
        <v>0.5</v>
      </c>
      <c r="M251" s="15" t="s">
        <v>649</v>
      </c>
      <c r="N251" s="15" t="s">
        <v>235</v>
      </c>
      <c r="O251" s="15">
        <v>44</v>
      </c>
      <c r="P251" s="15">
        <v>70</v>
      </c>
      <c r="Q251" s="15" t="s">
        <v>235</v>
      </c>
      <c r="R251" s="15" t="s">
        <v>235</v>
      </c>
      <c r="S251" s="15" t="s">
        <v>235</v>
      </c>
      <c r="T251" s="15" t="s">
        <v>235</v>
      </c>
      <c r="U251" s="15">
        <v>1</v>
      </c>
      <c r="V251" s="15" t="s">
        <v>235</v>
      </c>
      <c r="W251" s="15">
        <v>1</v>
      </c>
      <c r="X251" s="15">
        <v>8</v>
      </c>
      <c r="Y251" s="15">
        <v>1016</v>
      </c>
      <c r="Z251" s="15">
        <v>1022</v>
      </c>
      <c r="AA251" s="15" t="s">
        <v>235</v>
      </c>
      <c r="AB251" s="15" t="s">
        <v>628</v>
      </c>
    </row>
    <row r="252" spans="1:28">
      <c r="A252" s="15" t="s">
        <v>629</v>
      </c>
      <c r="B252" s="166" t="str">
        <f t="shared" si="3"/>
        <v>396</v>
      </c>
      <c r="C252" s="15">
        <v>33</v>
      </c>
      <c r="D252" s="15">
        <v>10899</v>
      </c>
      <c r="E252" s="15">
        <v>1021</v>
      </c>
      <c r="F252" s="15">
        <v>1053</v>
      </c>
      <c r="G252" s="15">
        <v>1052</v>
      </c>
      <c r="H252" s="15">
        <v>173</v>
      </c>
      <c r="I252" s="15">
        <v>173</v>
      </c>
      <c r="J252" s="15">
        <v>0</v>
      </c>
      <c r="K252" s="15" t="s">
        <v>235</v>
      </c>
      <c r="L252" s="15">
        <v>0.5</v>
      </c>
      <c r="M252" s="15" t="s">
        <v>649</v>
      </c>
      <c r="N252" s="15" t="s">
        <v>235</v>
      </c>
      <c r="O252" s="15">
        <v>44</v>
      </c>
      <c r="P252" s="15">
        <v>70</v>
      </c>
      <c r="Q252" s="15" t="s">
        <v>235</v>
      </c>
      <c r="R252" s="15" t="s">
        <v>235</v>
      </c>
      <c r="S252" s="15" t="s">
        <v>235</v>
      </c>
      <c r="T252" s="15" t="s">
        <v>235</v>
      </c>
      <c r="U252" s="15">
        <v>1</v>
      </c>
      <c r="V252" s="15" t="s">
        <v>235</v>
      </c>
      <c r="W252" s="15">
        <v>1</v>
      </c>
      <c r="X252" s="15">
        <v>8</v>
      </c>
      <c r="Y252" s="15">
        <v>1016</v>
      </c>
      <c r="Z252" s="15">
        <v>1022</v>
      </c>
      <c r="AA252" s="15" t="s">
        <v>235</v>
      </c>
      <c r="AB252" s="15" t="s">
        <v>629</v>
      </c>
    </row>
    <row r="253" spans="1:28">
      <c r="A253" s="15" t="s">
        <v>651</v>
      </c>
      <c r="B253" s="166" t="str">
        <f t="shared" si="3"/>
        <v>396</v>
      </c>
      <c r="C253" s="15">
        <v>33</v>
      </c>
      <c r="D253" s="15">
        <v>1014</v>
      </c>
      <c r="E253" s="15">
        <v>1019</v>
      </c>
      <c r="F253" s="15">
        <v>1053</v>
      </c>
      <c r="G253" s="15">
        <v>1052</v>
      </c>
      <c r="H253" s="15">
        <v>237</v>
      </c>
      <c r="I253" s="15">
        <v>237</v>
      </c>
      <c r="J253" s="15">
        <v>0</v>
      </c>
      <c r="K253" s="15" t="s">
        <v>235</v>
      </c>
      <c r="L253" s="15">
        <v>0.5</v>
      </c>
      <c r="M253" s="15" t="s">
        <v>649</v>
      </c>
      <c r="N253" s="15" t="s">
        <v>235</v>
      </c>
      <c r="O253" s="15">
        <v>44</v>
      </c>
      <c r="P253" s="15">
        <v>70</v>
      </c>
      <c r="Q253" s="15" t="s">
        <v>235</v>
      </c>
      <c r="R253" s="15" t="s">
        <v>235</v>
      </c>
      <c r="S253" s="15" t="s">
        <v>235</v>
      </c>
      <c r="T253" s="15" t="s">
        <v>235</v>
      </c>
      <c r="U253" s="15">
        <v>1</v>
      </c>
      <c r="V253" s="15" t="s">
        <v>235</v>
      </c>
      <c r="W253" s="15">
        <v>1</v>
      </c>
      <c r="X253" s="15">
        <v>8</v>
      </c>
      <c r="Y253" s="15">
        <v>1043</v>
      </c>
      <c r="Z253" s="15">
        <v>1047</v>
      </c>
      <c r="AA253" s="15" t="s">
        <v>235</v>
      </c>
      <c r="AB253" s="15" t="s">
        <v>651</v>
      </c>
    </row>
    <row r="254" spans="1:28">
      <c r="A254" s="15" t="s">
        <v>630</v>
      </c>
      <c r="B254" s="166" t="str">
        <f t="shared" si="3"/>
        <v>397</v>
      </c>
      <c r="C254" s="15">
        <v>33</v>
      </c>
      <c r="D254" s="15">
        <v>10899</v>
      </c>
      <c r="E254" s="15">
        <v>1021</v>
      </c>
      <c r="F254" s="15">
        <v>1053</v>
      </c>
      <c r="G254" s="15">
        <v>1052</v>
      </c>
      <c r="H254" s="15">
        <v>174</v>
      </c>
      <c r="I254" s="15">
        <v>174</v>
      </c>
      <c r="J254" s="15">
        <v>0</v>
      </c>
      <c r="K254" s="15" t="s">
        <v>235</v>
      </c>
      <c r="L254" s="15">
        <v>0.5</v>
      </c>
      <c r="M254" s="15" t="s">
        <v>649</v>
      </c>
      <c r="N254" s="15" t="s">
        <v>235</v>
      </c>
      <c r="O254" s="15">
        <v>45</v>
      </c>
      <c r="P254" s="15">
        <v>26</v>
      </c>
      <c r="Q254" s="15" t="s">
        <v>235</v>
      </c>
      <c r="R254" s="15" t="s">
        <v>235</v>
      </c>
      <c r="S254" s="15" t="s">
        <v>235</v>
      </c>
      <c r="T254" s="15" t="s">
        <v>235</v>
      </c>
      <c r="U254" s="15">
        <v>1</v>
      </c>
      <c r="V254" s="15" t="s">
        <v>235</v>
      </c>
      <c r="W254" s="15">
        <v>1</v>
      </c>
      <c r="X254" s="15">
        <v>8</v>
      </c>
      <c r="Y254" s="15">
        <v>1016</v>
      </c>
      <c r="Z254" s="15">
        <v>1022</v>
      </c>
      <c r="AA254" s="15" t="s">
        <v>235</v>
      </c>
      <c r="AB254" s="15" t="s">
        <v>630</v>
      </c>
    </row>
    <row r="255" spans="1:28">
      <c r="A255" s="15" t="s">
        <v>631</v>
      </c>
      <c r="B255" s="166" t="str">
        <f t="shared" si="3"/>
        <v>397</v>
      </c>
      <c r="C255" s="15">
        <v>33</v>
      </c>
      <c r="D255" s="15">
        <v>10899</v>
      </c>
      <c r="E255" s="15">
        <v>1021</v>
      </c>
      <c r="F255" s="15">
        <v>1053</v>
      </c>
      <c r="G255" s="15">
        <v>1052</v>
      </c>
      <c r="H255" s="15">
        <v>175</v>
      </c>
      <c r="I255" s="15">
        <v>175</v>
      </c>
      <c r="J255" s="15">
        <v>0</v>
      </c>
      <c r="K255" s="15" t="s">
        <v>235</v>
      </c>
      <c r="L255" s="15">
        <v>0.5</v>
      </c>
      <c r="M255" s="15" t="s">
        <v>649</v>
      </c>
      <c r="N255" s="15" t="s">
        <v>235</v>
      </c>
      <c r="O255" s="15">
        <v>45</v>
      </c>
      <c r="P255" s="15">
        <v>70</v>
      </c>
      <c r="Q255" s="15" t="s">
        <v>235</v>
      </c>
      <c r="R255" s="15" t="s">
        <v>235</v>
      </c>
      <c r="S255" s="15" t="s">
        <v>235</v>
      </c>
      <c r="T255" s="15" t="s">
        <v>235</v>
      </c>
      <c r="U255" s="15">
        <v>1</v>
      </c>
      <c r="V255" s="15" t="s">
        <v>235</v>
      </c>
      <c r="W255" s="15">
        <v>1</v>
      </c>
      <c r="X255" s="15">
        <v>8</v>
      </c>
      <c r="Y255" s="15">
        <v>1016</v>
      </c>
      <c r="Z255" s="15">
        <v>1022</v>
      </c>
      <c r="AA255" s="15" t="s">
        <v>235</v>
      </c>
      <c r="AB255" s="15" t="s">
        <v>631</v>
      </c>
    </row>
    <row r="256" spans="1:28">
      <c r="A256" s="15" t="s">
        <v>650</v>
      </c>
      <c r="B256" s="166" t="str">
        <f t="shared" si="3"/>
        <v>397</v>
      </c>
      <c r="C256" s="15">
        <v>33</v>
      </c>
      <c r="D256" s="15">
        <v>1014</v>
      </c>
      <c r="E256" s="15">
        <v>1019</v>
      </c>
      <c r="F256" s="15">
        <v>1053</v>
      </c>
      <c r="G256" s="15">
        <v>1052</v>
      </c>
      <c r="H256" s="15">
        <v>238</v>
      </c>
      <c r="I256" s="15">
        <v>238</v>
      </c>
      <c r="J256" s="15">
        <v>0</v>
      </c>
      <c r="K256" s="15" t="s">
        <v>235</v>
      </c>
      <c r="L256" s="15">
        <v>0.5</v>
      </c>
      <c r="M256" s="15" t="s">
        <v>649</v>
      </c>
      <c r="N256" s="15" t="s">
        <v>235</v>
      </c>
      <c r="O256" s="15">
        <v>45</v>
      </c>
      <c r="P256" s="15">
        <v>70</v>
      </c>
      <c r="Q256" s="15" t="s">
        <v>235</v>
      </c>
      <c r="R256" s="15" t="s">
        <v>235</v>
      </c>
      <c r="S256" s="15" t="s">
        <v>235</v>
      </c>
      <c r="T256" s="15" t="s">
        <v>235</v>
      </c>
      <c r="U256" s="15">
        <v>1</v>
      </c>
      <c r="V256" s="15" t="s">
        <v>235</v>
      </c>
      <c r="W256" s="15">
        <v>1</v>
      </c>
      <c r="X256" s="15">
        <v>8</v>
      </c>
      <c r="Y256" s="15">
        <v>1043</v>
      </c>
      <c r="Z256" s="15">
        <v>1047</v>
      </c>
      <c r="AA256" s="15" t="s">
        <v>235</v>
      </c>
      <c r="AB256" s="15" t="s">
        <v>650</v>
      </c>
    </row>
    <row r="257" spans="1:28">
      <c r="A257" s="15" t="s">
        <v>632</v>
      </c>
      <c r="B257" s="166" t="str">
        <f t="shared" si="3"/>
        <v>398</v>
      </c>
      <c r="C257" s="15">
        <v>33</v>
      </c>
      <c r="D257" s="15">
        <v>10899</v>
      </c>
      <c r="E257" s="15">
        <v>1021</v>
      </c>
      <c r="F257" s="15">
        <v>1053</v>
      </c>
      <c r="G257" s="15">
        <v>1052</v>
      </c>
      <c r="H257" s="15">
        <v>176</v>
      </c>
      <c r="I257" s="15">
        <v>176</v>
      </c>
      <c r="J257" s="15">
        <v>0</v>
      </c>
      <c r="K257" s="15" t="s">
        <v>235</v>
      </c>
      <c r="L257" s="15">
        <v>0.5</v>
      </c>
      <c r="M257" s="15" t="s">
        <v>649</v>
      </c>
      <c r="N257" s="15" t="s">
        <v>235</v>
      </c>
      <c r="O257" s="15">
        <v>46</v>
      </c>
      <c r="P257" s="15">
        <v>70</v>
      </c>
      <c r="Q257" s="15" t="s">
        <v>235</v>
      </c>
      <c r="R257" s="15" t="s">
        <v>235</v>
      </c>
      <c r="S257" s="15" t="s">
        <v>235</v>
      </c>
      <c r="T257" s="15" t="s">
        <v>235</v>
      </c>
      <c r="U257" s="15">
        <v>1</v>
      </c>
      <c r="V257" s="15" t="s">
        <v>235</v>
      </c>
      <c r="W257" s="15">
        <v>1</v>
      </c>
      <c r="X257" s="15">
        <v>8</v>
      </c>
      <c r="Y257" s="15">
        <v>1016</v>
      </c>
      <c r="Z257" s="15">
        <v>1022</v>
      </c>
      <c r="AA257" s="15" t="s">
        <v>235</v>
      </c>
      <c r="AB257" s="15" t="s">
        <v>632</v>
      </c>
    </row>
    <row r="258" spans="1:28">
      <c r="A258" s="15" t="s">
        <v>633</v>
      </c>
      <c r="B258" s="166" t="str">
        <f t="shared" ref="B258:B265" si="4">MID($A258,3,3)</f>
        <v>398</v>
      </c>
      <c r="C258" s="15">
        <v>33</v>
      </c>
      <c r="D258" s="15">
        <v>10899</v>
      </c>
      <c r="E258" s="15">
        <v>1021</v>
      </c>
      <c r="F258" s="15">
        <v>1053</v>
      </c>
      <c r="G258" s="15">
        <v>1052</v>
      </c>
      <c r="H258" s="15">
        <v>177</v>
      </c>
      <c r="I258" s="15">
        <v>177</v>
      </c>
      <c r="J258" s="15">
        <v>0</v>
      </c>
      <c r="K258" s="15" t="s">
        <v>235</v>
      </c>
      <c r="L258" s="15">
        <v>0.5</v>
      </c>
      <c r="M258" s="15" t="s">
        <v>649</v>
      </c>
      <c r="N258" s="15" t="s">
        <v>235</v>
      </c>
      <c r="O258" s="15">
        <v>46</v>
      </c>
      <c r="P258" s="15">
        <v>70</v>
      </c>
      <c r="Q258" s="15" t="s">
        <v>235</v>
      </c>
      <c r="R258" s="15" t="s">
        <v>235</v>
      </c>
      <c r="S258" s="15" t="s">
        <v>235</v>
      </c>
      <c r="T258" s="15" t="s">
        <v>235</v>
      </c>
      <c r="U258" s="15">
        <v>1</v>
      </c>
      <c r="V258" s="15" t="s">
        <v>235</v>
      </c>
      <c r="W258" s="15">
        <v>1</v>
      </c>
      <c r="X258" s="15">
        <v>8</v>
      </c>
      <c r="Y258" s="15">
        <v>1016</v>
      </c>
      <c r="Z258" s="15">
        <v>1022</v>
      </c>
      <c r="AA258" s="15" t="s">
        <v>235</v>
      </c>
      <c r="AB258" s="15" t="s">
        <v>633</v>
      </c>
    </row>
    <row r="259" spans="1:28">
      <c r="A259" s="15" t="s">
        <v>634</v>
      </c>
      <c r="B259" s="166" t="str">
        <f t="shared" si="4"/>
        <v>398</v>
      </c>
      <c r="C259" s="15">
        <v>33</v>
      </c>
      <c r="D259" s="15">
        <v>10899</v>
      </c>
      <c r="E259" s="15">
        <v>1021</v>
      </c>
      <c r="F259" s="15">
        <v>1053</v>
      </c>
      <c r="G259" s="15">
        <v>1052</v>
      </c>
      <c r="H259" s="15">
        <v>178</v>
      </c>
      <c r="I259" s="15">
        <v>178</v>
      </c>
      <c r="J259" s="15">
        <v>0</v>
      </c>
      <c r="K259" s="15" t="s">
        <v>235</v>
      </c>
      <c r="L259" s="15">
        <v>0.5</v>
      </c>
      <c r="M259" s="15" t="s">
        <v>649</v>
      </c>
      <c r="N259" s="15" t="s">
        <v>235</v>
      </c>
      <c r="O259" s="15">
        <v>46</v>
      </c>
      <c r="P259" s="15">
        <v>70</v>
      </c>
      <c r="Q259" s="15" t="s">
        <v>235</v>
      </c>
      <c r="R259" s="15" t="s">
        <v>235</v>
      </c>
      <c r="S259" s="15" t="s">
        <v>235</v>
      </c>
      <c r="T259" s="15" t="s">
        <v>235</v>
      </c>
      <c r="U259" s="15">
        <v>1</v>
      </c>
      <c r="V259" s="15" t="s">
        <v>235</v>
      </c>
      <c r="W259" s="15">
        <v>1</v>
      </c>
      <c r="X259" s="15">
        <v>8</v>
      </c>
      <c r="Y259" s="15">
        <v>1016</v>
      </c>
      <c r="Z259" s="15">
        <v>1022</v>
      </c>
      <c r="AA259" s="15" t="s">
        <v>235</v>
      </c>
      <c r="AB259" s="15" t="s">
        <v>634</v>
      </c>
    </row>
    <row r="260" spans="1:28">
      <c r="A260" s="15" t="s">
        <v>635</v>
      </c>
      <c r="B260" s="166" t="str">
        <f t="shared" si="4"/>
        <v>398</v>
      </c>
      <c r="C260" s="15">
        <v>33</v>
      </c>
      <c r="D260" s="15">
        <v>10899</v>
      </c>
      <c r="E260" s="15">
        <v>1021</v>
      </c>
      <c r="F260" s="15">
        <v>1053</v>
      </c>
      <c r="G260" s="15">
        <v>1052</v>
      </c>
      <c r="H260" s="15">
        <v>10040</v>
      </c>
      <c r="I260" s="15">
        <v>5332105</v>
      </c>
      <c r="J260" s="15">
        <v>0</v>
      </c>
      <c r="K260" s="15" t="s">
        <v>235</v>
      </c>
      <c r="L260" s="15">
        <v>0.5</v>
      </c>
      <c r="M260" s="15" t="s">
        <v>649</v>
      </c>
      <c r="N260" s="15" t="s">
        <v>235</v>
      </c>
      <c r="O260" s="15">
        <v>46</v>
      </c>
      <c r="P260" s="15">
        <v>70</v>
      </c>
      <c r="Q260" s="15" t="s">
        <v>235</v>
      </c>
      <c r="R260" s="15" t="s">
        <v>235</v>
      </c>
      <c r="S260" s="15" t="s">
        <v>235</v>
      </c>
      <c r="T260" s="15" t="s">
        <v>235</v>
      </c>
      <c r="U260" s="15">
        <v>1</v>
      </c>
      <c r="V260" s="15" t="s">
        <v>235</v>
      </c>
      <c r="W260" s="15">
        <v>1</v>
      </c>
      <c r="X260" s="15">
        <v>8</v>
      </c>
      <c r="Y260" s="15">
        <v>1016</v>
      </c>
      <c r="Z260" s="15">
        <v>1022</v>
      </c>
      <c r="AA260" s="15" t="s">
        <v>235</v>
      </c>
      <c r="AB260" s="15" t="s">
        <v>635</v>
      </c>
    </row>
    <row r="261" spans="1:28">
      <c r="A261" s="15" t="s">
        <v>636</v>
      </c>
      <c r="B261" s="166" t="str">
        <f t="shared" si="4"/>
        <v>398</v>
      </c>
      <c r="C261" s="15">
        <v>33</v>
      </c>
      <c r="D261" s="15">
        <v>10899</v>
      </c>
      <c r="E261" s="15">
        <v>1021</v>
      </c>
      <c r="F261" s="15">
        <v>1053</v>
      </c>
      <c r="G261" s="15">
        <v>1052</v>
      </c>
      <c r="H261" s="15">
        <v>179</v>
      </c>
      <c r="I261" s="15">
        <v>179</v>
      </c>
      <c r="J261" s="15">
        <v>0</v>
      </c>
      <c r="K261" s="15" t="s">
        <v>235</v>
      </c>
      <c r="L261" s="15">
        <v>0.5</v>
      </c>
      <c r="M261" s="15" t="s">
        <v>649</v>
      </c>
      <c r="N261" s="15" t="s">
        <v>235</v>
      </c>
      <c r="O261" s="15">
        <v>46</v>
      </c>
      <c r="P261" s="15">
        <v>70</v>
      </c>
      <c r="Q261" s="15" t="s">
        <v>235</v>
      </c>
      <c r="R261" s="15" t="s">
        <v>235</v>
      </c>
      <c r="S261" s="15" t="s">
        <v>235</v>
      </c>
      <c r="T261" s="15" t="s">
        <v>235</v>
      </c>
      <c r="U261" s="15">
        <v>1</v>
      </c>
      <c r="V261" s="15" t="s">
        <v>235</v>
      </c>
      <c r="W261" s="15">
        <v>1</v>
      </c>
      <c r="X261" s="15">
        <v>8</v>
      </c>
      <c r="Y261" s="15">
        <v>1016</v>
      </c>
      <c r="Z261" s="15">
        <v>1022</v>
      </c>
      <c r="AA261" s="15" t="s">
        <v>235</v>
      </c>
      <c r="AB261" s="15" t="s">
        <v>636</v>
      </c>
    </row>
    <row r="262" spans="1:28">
      <c r="A262" s="15" t="s">
        <v>637</v>
      </c>
      <c r="B262" s="166" t="str">
        <f t="shared" si="4"/>
        <v>398</v>
      </c>
      <c r="C262" s="15">
        <v>33</v>
      </c>
      <c r="D262" s="15">
        <v>10899</v>
      </c>
      <c r="E262" s="15">
        <v>1021</v>
      </c>
      <c r="F262" s="15">
        <v>1053</v>
      </c>
      <c r="G262" s="15">
        <v>1052</v>
      </c>
      <c r="H262" s="15">
        <v>180</v>
      </c>
      <c r="I262" s="15">
        <v>180</v>
      </c>
      <c r="J262" s="15">
        <v>0</v>
      </c>
      <c r="K262" s="15" t="s">
        <v>235</v>
      </c>
      <c r="L262" s="15">
        <v>0.5</v>
      </c>
      <c r="M262" s="15" t="s">
        <v>649</v>
      </c>
      <c r="N262" s="15" t="s">
        <v>235</v>
      </c>
      <c r="O262" s="15">
        <v>46</v>
      </c>
      <c r="P262" s="15">
        <v>70</v>
      </c>
      <c r="Q262" s="15" t="s">
        <v>235</v>
      </c>
      <c r="R262" s="15" t="s">
        <v>235</v>
      </c>
      <c r="S262" s="15" t="s">
        <v>235</v>
      </c>
      <c r="T262" s="15" t="s">
        <v>235</v>
      </c>
      <c r="U262" s="15">
        <v>1</v>
      </c>
      <c r="V262" s="15" t="s">
        <v>235</v>
      </c>
      <c r="W262" s="15">
        <v>1</v>
      </c>
      <c r="X262" s="15">
        <v>8</v>
      </c>
      <c r="Y262" s="15">
        <v>1016</v>
      </c>
      <c r="Z262" s="15">
        <v>1022</v>
      </c>
      <c r="AA262" s="15" t="s">
        <v>235</v>
      </c>
      <c r="AB262" s="15" t="s">
        <v>637</v>
      </c>
    </row>
    <row r="263" spans="1:28">
      <c r="A263" s="15" t="s">
        <v>638</v>
      </c>
      <c r="B263" s="166" t="str">
        <f t="shared" si="4"/>
        <v>398</v>
      </c>
      <c r="C263" s="15">
        <v>33</v>
      </c>
      <c r="D263" s="15">
        <v>10899</v>
      </c>
      <c r="E263" s="15">
        <v>1021</v>
      </c>
      <c r="F263" s="15">
        <v>1053</v>
      </c>
      <c r="G263" s="15">
        <v>1052</v>
      </c>
      <c r="H263" s="15">
        <v>181</v>
      </c>
      <c r="I263" s="15">
        <v>181</v>
      </c>
      <c r="J263" s="15">
        <v>0</v>
      </c>
      <c r="K263" s="15" t="s">
        <v>235</v>
      </c>
      <c r="L263" s="15">
        <v>0.5</v>
      </c>
      <c r="M263" s="15" t="s">
        <v>649</v>
      </c>
      <c r="N263" s="15" t="s">
        <v>235</v>
      </c>
      <c r="O263" s="15">
        <v>46</v>
      </c>
      <c r="P263" s="15">
        <v>70</v>
      </c>
      <c r="Q263" s="15" t="s">
        <v>235</v>
      </c>
      <c r="R263" s="15" t="s">
        <v>235</v>
      </c>
      <c r="S263" s="15" t="s">
        <v>235</v>
      </c>
      <c r="T263" s="15" t="s">
        <v>235</v>
      </c>
      <c r="U263" s="15">
        <v>1</v>
      </c>
      <c r="V263" s="15" t="s">
        <v>235</v>
      </c>
      <c r="W263" s="15">
        <v>1</v>
      </c>
      <c r="X263" s="15">
        <v>8</v>
      </c>
      <c r="Y263" s="15">
        <v>1016</v>
      </c>
      <c r="Z263" s="15">
        <v>1022</v>
      </c>
      <c r="AA263" s="15" t="s">
        <v>235</v>
      </c>
      <c r="AB263" s="15" t="s">
        <v>638</v>
      </c>
    </row>
    <row r="264" spans="1:28">
      <c r="A264" s="15" t="s">
        <v>639</v>
      </c>
      <c r="B264" s="166" t="str">
        <f t="shared" si="4"/>
        <v>398</v>
      </c>
      <c r="C264" s="15">
        <v>33</v>
      </c>
      <c r="D264" s="15">
        <v>10899</v>
      </c>
      <c r="E264" s="15">
        <v>1021</v>
      </c>
      <c r="F264" s="15">
        <v>1053</v>
      </c>
      <c r="G264" s="15">
        <v>1052</v>
      </c>
      <c r="H264" s="15">
        <v>182</v>
      </c>
      <c r="I264" s="15">
        <v>182</v>
      </c>
      <c r="J264" s="15">
        <v>0</v>
      </c>
      <c r="K264" s="15" t="s">
        <v>235</v>
      </c>
      <c r="L264" s="15">
        <v>0.5</v>
      </c>
      <c r="M264" s="15" t="s">
        <v>649</v>
      </c>
      <c r="N264" s="15" t="s">
        <v>235</v>
      </c>
      <c r="O264" s="15">
        <v>46</v>
      </c>
      <c r="P264" s="15">
        <v>70</v>
      </c>
      <c r="Q264" s="15" t="s">
        <v>235</v>
      </c>
      <c r="R264" s="15" t="s">
        <v>235</v>
      </c>
      <c r="S264" s="15" t="s">
        <v>235</v>
      </c>
      <c r="T264" s="15" t="s">
        <v>235</v>
      </c>
      <c r="U264" s="15">
        <v>1</v>
      </c>
      <c r="V264" s="15" t="s">
        <v>235</v>
      </c>
      <c r="W264" s="15">
        <v>1</v>
      </c>
      <c r="X264" s="15">
        <v>8</v>
      </c>
      <c r="Y264" s="15">
        <v>1016</v>
      </c>
      <c r="Z264" s="15">
        <v>1022</v>
      </c>
      <c r="AA264" s="15" t="s">
        <v>235</v>
      </c>
      <c r="AB264" s="15" t="s">
        <v>639</v>
      </c>
    </row>
    <row r="265" spans="1:28">
      <c r="A265" s="15" t="s">
        <v>648</v>
      </c>
      <c r="B265" s="166" t="str">
        <f t="shared" si="4"/>
        <v>398</v>
      </c>
      <c r="C265" s="15">
        <v>33</v>
      </c>
      <c r="D265" s="15">
        <v>1014</v>
      </c>
      <c r="E265" s="15">
        <v>1019</v>
      </c>
      <c r="F265" s="15">
        <v>1053</v>
      </c>
      <c r="G265" s="15">
        <v>1052</v>
      </c>
      <c r="H265" s="15">
        <v>239</v>
      </c>
      <c r="I265" s="15">
        <v>239</v>
      </c>
      <c r="J265" s="15">
        <v>0</v>
      </c>
      <c r="K265" s="15" t="s">
        <v>235</v>
      </c>
      <c r="L265" s="15">
        <v>0.5</v>
      </c>
      <c r="M265" s="15" t="s">
        <v>649</v>
      </c>
      <c r="N265" s="15" t="s">
        <v>235</v>
      </c>
      <c r="O265" s="15">
        <v>46</v>
      </c>
      <c r="P265" s="15">
        <v>70</v>
      </c>
      <c r="Q265" s="15" t="s">
        <v>235</v>
      </c>
      <c r="R265" s="15" t="s">
        <v>235</v>
      </c>
      <c r="S265" s="15" t="s">
        <v>235</v>
      </c>
      <c r="T265" s="15" t="s">
        <v>235</v>
      </c>
      <c r="U265" s="15">
        <v>1</v>
      </c>
      <c r="V265" s="15" t="s">
        <v>235</v>
      </c>
      <c r="W265" s="15">
        <v>1</v>
      </c>
      <c r="X265" s="15">
        <v>8</v>
      </c>
      <c r="Y265" s="15">
        <v>1043</v>
      </c>
      <c r="Z265" s="15">
        <v>1047</v>
      </c>
      <c r="AA265" s="15" t="s">
        <v>235</v>
      </c>
      <c r="AB265" s="15" t="s">
        <v>648</v>
      </c>
    </row>
    <row r="266" spans="1:28">
      <c r="A266" s="15" t="s">
        <v>643</v>
      </c>
      <c r="B266" s="166">
        <v>317</v>
      </c>
      <c r="C266" s="15">
        <v>33</v>
      </c>
      <c r="D266" s="15">
        <v>16920</v>
      </c>
      <c r="E266" s="15">
        <v>56920</v>
      </c>
      <c r="F266" s="15">
        <v>284403</v>
      </c>
      <c r="G266" s="15">
        <v>284403</v>
      </c>
      <c r="H266" s="15">
        <v>10006</v>
      </c>
      <c r="I266" s="15">
        <v>10006</v>
      </c>
      <c r="J266" s="15">
        <v>100</v>
      </c>
      <c r="K266" s="15" t="s">
        <v>235</v>
      </c>
      <c r="L266" s="15">
        <v>0.5</v>
      </c>
      <c r="M266" s="15" t="s">
        <v>175</v>
      </c>
      <c r="N266" s="15" t="s">
        <v>235</v>
      </c>
      <c r="O266" s="15">
        <v>77</v>
      </c>
      <c r="P266" s="15" t="s">
        <v>235</v>
      </c>
      <c r="Q266" s="15" t="s">
        <v>235</v>
      </c>
      <c r="R266" s="15" t="s">
        <v>235</v>
      </c>
      <c r="S266" s="15" t="s">
        <v>235</v>
      </c>
      <c r="T266" s="15" t="s">
        <v>235</v>
      </c>
      <c r="U266" s="15" t="s">
        <v>235</v>
      </c>
      <c r="V266" s="15" t="s">
        <v>235</v>
      </c>
      <c r="W266" s="15">
        <v>1</v>
      </c>
      <c r="X266" s="15">
        <v>2</v>
      </c>
      <c r="Y266" s="15">
        <v>16920</v>
      </c>
      <c r="Z266" s="15">
        <v>284402</v>
      </c>
      <c r="AA266" s="15">
        <v>2</v>
      </c>
      <c r="AB266" s="15" t="s">
        <v>235</v>
      </c>
    </row>
    <row r="267" spans="1:28">
      <c r="A267" s="15" t="s">
        <v>642</v>
      </c>
      <c r="B267" s="166">
        <v>347</v>
      </c>
      <c r="C267" s="15">
        <v>33</v>
      </c>
      <c r="D267" s="15">
        <v>16920</v>
      </c>
      <c r="E267" s="15">
        <v>56920</v>
      </c>
      <c r="F267" s="15">
        <v>81080</v>
      </c>
      <c r="G267" s="15">
        <v>81080</v>
      </c>
      <c r="H267" s="15">
        <v>10007</v>
      </c>
      <c r="I267" s="15">
        <v>10007</v>
      </c>
      <c r="J267" s="15">
        <v>100</v>
      </c>
      <c r="K267" s="15" t="s">
        <v>235</v>
      </c>
      <c r="L267" s="15">
        <v>0.5</v>
      </c>
      <c r="M267" s="15" t="s">
        <v>175</v>
      </c>
      <c r="N267" s="15" t="s">
        <v>235</v>
      </c>
      <c r="O267" s="15">
        <v>78</v>
      </c>
      <c r="P267" s="15" t="s">
        <v>235</v>
      </c>
      <c r="Q267" s="15" t="s">
        <v>235</v>
      </c>
      <c r="R267" s="15" t="s">
        <v>235</v>
      </c>
      <c r="S267" s="15" t="s">
        <v>235</v>
      </c>
      <c r="T267" s="15" t="s">
        <v>235</v>
      </c>
      <c r="U267" s="15" t="s">
        <v>235</v>
      </c>
      <c r="V267" s="15" t="s">
        <v>235</v>
      </c>
      <c r="W267" s="15">
        <v>1</v>
      </c>
      <c r="X267" s="15">
        <v>5</v>
      </c>
      <c r="Y267" s="15">
        <v>16920</v>
      </c>
      <c r="Z267" s="15">
        <v>284402</v>
      </c>
      <c r="AA267" s="15">
        <v>2</v>
      </c>
      <c r="AB267" s="15" t="s">
        <v>235</v>
      </c>
    </row>
    <row r="268" spans="1:28">
      <c r="A268" s="15" t="s">
        <v>647</v>
      </c>
      <c r="B268" s="166">
        <v>359.1</v>
      </c>
      <c r="C268" s="15">
        <v>33</v>
      </c>
      <c r="D268" s="15">
        <v>16920</v>
      </c>
      <c r="E268" s="15">
        <v>56920</v>
      </c>
      <c r="F268" s="15">
        <v>284403</v>
      </c>
      <c r="G268" s="15">
        <v>284403</v>
      </c>
      <c r="H268" s="15">
        <v>10008</v>
      </c>
      <c r="I268" s="15">
        <v>10008</v>
      </c>
      <c r="J268" s="15">
        <v>100</v>
      </c>
      <c r="K268" s="15" t="s">
        <v>235</v>
      </c>
      <c r="L268" s="15">
        <v>0.5</v>
      </c>
      <c r="M268" s="15" t="s">
        <v>175</v>
      </c>
      <c r="N268" s="15" t="s">
        <v>235</v>
      </c>
      <c r="O268" s="15">
        <v>25</v>
      </c>
      <c r="P268" s="15" t="s">
        <v>235</v>
      </c>
      <c r="Q268" s="15" t="s">
        <v>235</v>
      </c>
      <c r="R268" s="15" t="s">
        <v>235</v>
      </c>
      <c r="S268" s="15" t="s">
        <v>235</v>
      </c>
      <c r="T268" s="15" t="s">
        <v>235</v>
      </c>
      <c r="U268" s="15" t="s">
        <v>235</v>
      </c>
      <c r="V268" s="15" t="s">
        <v>235</v>
      </c>
      <c r="W268" s="15">
        <v>1</v>
      </c>
      <c r="X268" s="15">
        <v>6</v>
      </c>
      <c r="Y268" s="15">
        <v>16920</v>
      </c>
      <c r="Z268" s="15">
        <v>284402</v>
      </c>
      <c r="AA268" s="15">
        <v>2</v>
      </c>
      <c r="AB268" s="15" t="s">
        <v>235</v>
      </c>
    </row>
    <row r="269" spans="1:28">
      <c r="A269" s="15" t="s">
        <v>641</v>
      </c>
      <c r="B269" s="166">
        <v>374</v>
      </c>
      <c r="C269" s="15">
        <v>33</v>
      </c>
      <c r="D269" s="15">
        <v>16920</v>
      </c>
      <c r="E269" s="15">
        <v>56920</v>
      </c>
      <c r="F269" s="15">
        <v>284403</v>
      </c>
      <c r="G269" s="15">
        <v>284403</v>
      </c>
      <c r="H269" s="15">
        <v>10009</v>
      </c>
      <c r="I269" s="15">
        <v>10009</v>
      </c>
      <c r="J269" s="15">
        <v>100</v>
      </c>
      <c r="K269" s="15" t="s">
        <v>235</v>
      </c>
      <c r="L269" s="15">
        <v>0.5</v>
      </c>
      <c r="M269" s="15" t="s">
        <v>175</v>
      </c>
      <c r="N269" s="15" t="s">
        <v>235</v>
      </c>
      <c r="O269" s="15">
        <v>80</v>
      </c>
      <c r="P269" s="15" t="s">
        <v>235</v>
      </c>
      <c r="Q269" s="15" t="s">
        <v>235</v>
      </c>
      <c r="R269" s="15" t="s">
        <v>235</v>
      </c>
      <c r="S269" s="15" t="s">
        <v>235</v>
      </c>
      <c r="T269" s="15" t="s">
        <v>235</v>
      </c>
      <c r="U269" s="15" t="s">
        <v>235</v>
      </c>
      <c r="V269" s="15" t="s">
        <v>235</v>
      </c>
      <c r="W269" s="15">
        <v>1</v>
      </c>
      <c r="X269" s="15">
        <v>7</v>
      </c>
      <c r="Y269" s="15">
        <v>16920</v>
      </c>
      <c r="Z269" s="15">
        <v>284402</v>
      </c>
      <c r="AA269" s="15">
        <v>2</v>
      </c>
      <c r="AB269" s="15" t="s">
        <v>235</v>
      </c>
    </row>
    <row r="270" spans="1:28">
      <c r="A270" s="15" t="s">
        <v>640</v>
      </c>
      <c r="B270" s="166">
        <v>399.1</v>
      </c>
      <c r="C270" s="15">
        <v>33</v>
      </c>
      <c r="D270" s="15">
        <v>16920</v>
      </c>
      <c r="E270" s="15">
        <v>56920</v>
      </c>
      <c r="F270" s="15">
        <v>284403</v>
      </c>
      <c r="G270" s="15">
        <v>284403</v>
      </c>
      <c r="H270" s="15">
        <v>10010</v>
      </c>
      <c r="I270" s="15">
        <v>10010</v>
      </c>
      <c r="J270" s="15">
        <v>100</v>
      </c>
      <c r="K270" s="15" t="s">
        <v>235</v>
      </c>
      <c r="L270" s="15">
        <v>0.5</v>
      </c>
      <c r="M270" s="15" t="s">
        <v>175</v>
      </c>
      <c r="N270" s="15" t="s">
        <v>235</v>
      </c>
      <c r="O270" s="15">
        <v>79</v>
      </c>
      <c r="P270" s="15" t="s">
        <v>235</v>
      </c>
      <c r="Q270" s="15" t="s">
        <v>235</v>
      </c>
      <c r="R270" s="15" t="s">
        <v>235</v>
      </c>
      <c r="S270" s="15" t="s">
        <v>235</v>
      </c>
      <c r="T270" s="15" t="s">
        <v>235</v>
      </c>
      <c r="U270" s="15" t="s">
        <v>235</v>
      </c>
      <c r="V270" s="15" t="s">
        <v>235</v>
      </c>
      <c r="W270" s="15">
        <v>1</v>
      </c>
      <c r="X270" s="15">
        <v>8</v>
      </c>
      <c r="Y270" s="15">
        <v>16920</v>
      </c>
      <c r="Z270" s="15">
        <v>284402</v>
      </c>
      <c r="AA270" s="15">
        <v>2</v>
      </c>
      <c r="AB270" s="15" t="s">
        <v>235</v>
      </c>
    </row>
  </sheetData>
  <autoFilter ref="A1:AB1" xr:uid="{00000000-0001-0000-0000-000000000000}">
    <sortState xmlns:xlrd2="http://schemas.microsoft.com/office/spreadsheetml/2017/richdata2" ref="A2:AB270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F157"/>
  <sheetViews>
    <sheetView zoomScaleNormal="100" zoomScalePageLayoutView="69" workbookViewId="0">
      <pane ySplit="4" topLeftCell="A5" activePane="bottomLeft" state="frozen"/>
      <selection activeCell="E1" sqref="E1"/>
      <selection pane="bottomLeft" activeCell="M129" sqref="M129"/>
    </sheetView>
  </sheetViews>
  <sheetFormatPr defaultColWidth="9.140625" defaultRowHeight="11.25"/>
  <cols>
    <col min="1" max="1" width="5.5703125" style="5" customWidth="1"/>
    <col min="2" max="2" width="4.5703125" style="5" customWidth="1"/>
    <col min="3" max="3" width="6.85546875" style="5" customWidth="1"/>
    <col min="4" max="4" width="9.140625" style="5" customWidth="1"/>
    <col min="5" max="5" width="10.42578125" style="5" customWidth="1"/>
    <col min="6" max="6" width="14.85546875" style="5" customWidth="1"/>
    <col min="7" max="7" width="8.28515625" style="5" customWidth="1"/>
    <col min="8" max="8" width="8.42578125" style="5" customWidth="1"/>
    <col min="9" max="9" width="6.7109375" style="5" customWidth="1"/>
    <col min="10" max="10" width="12.140625" style="286" customWidth="1"/>
    <col min="11" max="11" width="9.42578125" style="286" customWidth="1"/>
    <col min="12" max="12" width="8.28515625" style="286" customWidth="1"/>
    <col min="13" max="13" width="10" style="286" customWidth="1"/>
    <col min="14" max="14" width="10.85546875" style="286" customWidth="1"/>
    <col min="15" max="15" width="9.140625" style="286" customWidth="1"/>
    <col min="16" max="16" width="10" style="286" customWidth="1"/>
    <col min="17" max="17" width="11" style="286" customWidth="1"/>
    <col min="18" max="18" width="11.5703125" style="286" customWidth="1"/>
    <col min="19" max="19" width="15.85546875" style="286" customWidth="1"/>
    <col min="20" max="20" width="10.7109375" style="286" customWidth="1"/>
    <col min="21" max="21" width="3" style="440" customWidth="1"/>
    <col min="22" max="22" width="9.140625" style="5"/>
    <col min="23" max="23" width="9.140625" style="672"/>
    <col min="24" max="24" width="11.140625" style="672" bestFit="1" customWidth="1"/>
    <col min="25" max="25" width="11.42578125" style="672" bestFit="1" customWidth="1"/>
    <col min="26" max="26" width="10.5703125" style="672" customWidth="1"/>
    <col min="27" max="27" width="9.5703125" style="672" bestFit="1" customWidth="1"/>
    <col min="28" max="28" width="10" style="672" bestFit="1" customWidth="1"/>
    <col min="29" max="30" width="9.140625" style="670"/>
    <col min="31" max="16384" width="9.140625" style="5"/>
  </cols>
  <sheetData>
    <row r="1" spans="1:32" ht="12" thickBot="1">
      <c r="E1" s="14" t="s">
        <v>225</v>
      </c>
      <c r="J1" s="287" t="s">
        <v>226</v>
      </c>
      <c r="K1" s="288"/>
      <c r="L1" s="518"/>
      <c r="M1" s="288"/>
      <c r="N1" s="288"/>
      <c r="O1" s="288"/>
      <c r="P1" s="288"/>
      <c r="Q1" s="518"/>
      <c r="U1" s="440" t="s">
        <v>1264</v>
      </c>
    </row>
    <row r="2" spans="1:32">
      <c r="A2" s="416"/>
      <c r="B2" s="417"/>
      <c r="C2" s="417"/>
      <c r="D2" s="418"/>
      <c r="E2" s="425" t="s">
        <v>807</v>
      </c>
      <c r="F2" s="426"/>
      <c r="J2" s="289" t="s">
        <v>1265</v>
      </c>
      <c r="K2" s="289" t="s">
        <v>1291</v>
      </c>
      <c r="L2" s="289" t="s">
        <v>1376</v>
      </c>
      <c r="M2" s="289" t="s">
        <v>1375</v>
      </c>
      <c r="N2" s="289" t="s">
        <v>1256</v>
      </c>
      <c r="O2" s="289" t="s">
        <v>1289</v>
      </c>
      <c r="P2" s="289" t="s">
        <v>1402</v>
      </c>
      <c r="Q2" s="289"/>
      <c r="R2" s="289" t="s">
        <v>792</v>
      </c>
      <c r="S2" s="289" t="s">
        <v>790</v>
      </c>
      <c r="T2" s="289" t="s">
        <v>792</v>
      </c>
      <c r="U2" s="229"/>
      <c r="Z2" s="672" t="s">
        <v>791</v>
      </c>
      <c r="AB2" s="672" t="s">
        <v>1405</v>
      </c>
    </row>
    <row r="3" spans="1:32" ht="22.5">
      <c r="A3" s="419"/>
      <c r="B3" s="420"/>
      <c r="C3" s="420"/>
      <c r="D3" s="421"/>
      <c r="E3" s="427"/>
      <c r="F3" s="428"/>
      <c r="G3" s="702" t="s">
        <v>791</v>
      </c>
      <c r="H3" s="702"/>
      <c r="I3" s="703"/>
      <c r="J3" s="519" t="s">
        <v>231</v>
      </c>
      <c r="K3" s="704" t="s">
        <v>230</v>
      </c>
      <c r="L3" s="705"/>
      <c r="M3" s="705"/>
      <c r="N3" s="705"/>
      <c r="O3" s="705"/>
      <c r="P3" s="705"/>
      <c r="Q3" s="706"/>
    </row>
    <row r="4" spans="1:32" ht="39" customHeight="1">
      <c r="A4" s="422" t="s">
        <v>52</v>
      </c>
      <c r="B4" s="423" t="s">
        <v>74</v>
      </c>
      <c r="C4" s="423" t="s">
        <v>51</v>
      </c>
      <c r="D4" s="424" t="s">
        <v>53</v>
      </c>
      <c r="E4" s="429" t="s">
        <v>148</v>
      </c>
      <c r="F4" s="430" t="s">
        <v>0</v>
      </c>
      <c r="G4" s="431" t="s">
        <v>134</v>
      </c>
      <c r="H4" s="432" t="s">
        <v>146</v>
      </c>
      <c r="I4" s="433" t="s">
        <v>147</v>
      </c>
      <c r="J4" s="290" t="s">
        <v>1304</v>
      </c>
      <c r="K4" s="291" t="s">
        <v>229</v>
      </c>
      <c r="L4" s="291" t="s">
        <v>1019</v>
      </c>
      <c r="M4" s="291" t="s">
        <v>1271</v>
      </c>
      <c r="N4" s="480" t="s">
        <v>1283</v>
      </c>
      <c r="O4" s="480" t="s">
        <v>1286</v>
      </c>
      <c r="P4" s="480" t="s">
        <v>1412</v>
      </c>
      <c r="Q4" s="411" t="s">
        <v>1305</v>
      </c>
      <c r="R4" s="412" t="s">
        <v>228</v>
      </c>
      <c r="S4" s="413" t="s">
        <v>1311</v>
      </c>
      <c r="T4" s="414" t="s">
        <v>139</v>
      </c>
      <c r="U4" s="415" t="s">
        <v>164</v>
      </c>
      <c r="W4" s="672" t="s">
        <v>1377</v>
      </c>
      <c r="X4" s="675" t="s">
        <v>1383</v>
      </c>
      <c r="Y4" s="675" t="s">
        <v>1382</v>
      </c>
      <c r="Z4" s="672" t="s">
        <v>1381</v>
      </c>
      <c r="AA4" s="672" t="s">
        <v>1378</v>
      </c>
      <c r="AB4" s="675" t="s">
        <v>1403</v>
      </c>
      <c r="AC4" s="678" t="s">
        <v>1379</v>
      </c>
    </row>
    <row r="5" spans="1:32">
      <c r="A5" s="5" t="str">
        <f>MID(F5,3,3)</f>
        <v>302</v>
      </c>
      <c r="B5" s="5" t="str">
        <f>MID(F5,6,2)</f>
        <v>XX</v>
      </c>
      <c r="C5" s="11" t="s">
        <v>73</v>
      </c>
      <c r="D5" s="5" t="str">
        <f>CONCATENATE(A5,C5)</f>
        <v>30200000</v>
      </c>
      <c r="E5" s="10" t="s">
        <v>832</v>
      </c>
      <c r="F5" s="5" t="s">
        <v>833</v>
      </c>
      <c r="G5" s="12">
        <f>IFERROR(VLOOKUP($D5,'4. New Depr Rates'!$R$8:$W$69,2,FALSE),0)</f>
        <v>0.04</v>
      </c>
      <c r="H5" s="12">
        <f>IFERROR(VLOOKUP($D5,'4. New Depr Rates'!$R$8:$W$69,4,FALSE),0)</f>
        <v>0</v>
      </c>
      <c r="I5" s="12">
        <f>IFERROR(VLOOKUP($D5,'4. New Depr Rates'!$R$8:$W$69,6,FALSE),0)</f>
        <v>0.04</v>
      </c>
      <c r="J5" s="661">
        <f>IFERROR(VLOOKUP($F5,'1. BI Page 204-207'!$F$7:$L$148,7,FALSE),0)</f>
        <v>349890.22</v>
      </c>
      <c r="K5" s="6">
        <f>IFERROR(VLOOKUP($F5,'2. Post Test Year_Pivot'!$D$3:$E$22,2,FALSE),0)</f>
        <v>0</v>
      </c>
      <c r="L5" s="6"/>
      <c r="M5" s="6"/>
      <c r="N5" s="6"/>
      <c r="O5" s="6"/>
      <c r="P5" s="6">
        <f>IFERROR(VLOOKUP(F5,'9. Retirements'!$B$6:$C$57,2,FALSE),)</f>
        <v>0</v>
      </c>
      <c r="Q5" s="7">
        <f>SUM(J5:P5)</f>
        <v>349890.22</v>
      </c>
      <c r="R5" s="6">
        <f>ROUND(Q5*I5,0)</f>
        <v>13996</v>
      </c>
      <c r="S5" s="6"/>
      <c r="U5" s="441"/>
    </row>
    <row r="6" spans="1:32" s="10" customFormat="1">
      <c r="A6" s="8"/>
      <c r="B6" s="8"/>
      <c r="C6" s="8"/>
      <c r="D6" s="8"/>
      <c r="E6" s="8" t="s">
        <v>844</v>
      </c>
      <c r="F6" s="8" t="str">
        <f>MID(E6,2,3)</f>
        <v>302</v>
      </c>
      <c r="G6" s="8"/>
      <c r="H6" s="8"/>
      <c r="I6" s="8"/>
      <c r="J6" s="292">
        <f t="shared" ref="J6:R6" si="0">SUM(J5:J5)</f>
        <v>349890.22</v>
      </c>
      <c r="K6" s="292">
        <f t="shared" si="0"/>
        <v>0</v>
      </c>
      <c r="L6" s="292">
        <f t="shared" si="0"/>
        <v>0</v>
      </c>
      <c r="M6" s="292">
        <f t="shared" si="0"/>
        <v>0</v>
      </c>
      <c r="N6" s="292">
        <f t="shared" si="0"/>
        <v>0</v>
      </c>
      <c r="O6" s="292">
        <f t="shared" si="0"/>
        <v>0</v>
      </c>
      <c r="P6" s="292">
        <f t="shared" si="0"/>
        <v>0</v>
      </c>
      <c r="Q6" s="292">
        <f t="shared" si="0"/>
        <v>349890.22</v>
      </c>
      <c r="R6" s="292">
        <f t="shared" si="0"/>
        <v>13996</v>
      </c>
      <c r="S6" s="292">
        <f>ROUND('3. Depreciation Expense Dtl'!O9,0)</f>
        <v>12381</v>
      </c>
      <c r="T6" s="292">
        <f>R6-S6</f>
        <v>1615</v>
      </c>
      <c r="U6" s="13" t="s">
        <v>41</v>
      </c>
      <c r="V6" s="669" t="str">
        <f>LEFT(E6,4)</f>
        <v>G302</v>
      </c>
      <c r="W6" s="673">
        <f>'3. Depreciation Expense Dtl'!E9+'3. Depreciation Expense Dtl'!L9</f>
        <v>-1614.8</v>
      </c>
      <c r="X6" s="673"/>
      <c r="Y6" s="673"/>
      <c r="Z6" s="673"/>
      <c r="AA6" s="673"/>
      <c r="AB6" s="673"/>
      <c r="AC6" s="671"/>
      <c r="AD6" s="671"/>
    </row>
    <row r="7" spans="1:32" ht="11.25" customHeight="1">
      <c r="A7" s="5" t="str">
        <f>MID(F7,3,3)</f>
        <v>303</v>
      </c>
      <c r="B7" s="5" t="str">
        <f>MID(F7,6,2)</f>
        <v>S2</v>
      </c>
      <c r="C7" s="5" t="str">
        <f>MID(F7,8,5)</f>
        <v>00000</v>
      </c>
      <c r="D7" s="5" t="str">
        <f>CONCATENATE(A7,C7)</f>
        <v>30300000</v>
      </c>
      <c r="E7" s="10" t="s">
        <v>831</v>
      </c>
      <c r="F7" s="163" t="s">
        <v>835</v>
      </c>
      <c r="G7" s="410">
        <v>0.2</v>
      </c>
      <c r="H7" s="410">
        <v>0</v>
      </c>
      <c r="I7" s="410">
        <v>0.2</v>
      </c>
      <c r="J7" s="661">
        <f>IFERROR(VLOOKUP($F7,'1. BI Page 204-207'!$F$7:$L$148,7,FALSE),0)</f>
        <v>1430079.46</v>
      </c>
      <c r="K7" s="6">
        <f>IFERROR(VLOOKUP($F7,'2. Post Test Year_Pivot'!$D$3:$E$22,2,FALSE),0)</f>
        <v>0</v>
      </c>
      <c r="L7" s="6"/>
      <c r="M7" s="6"/>
      <c r="N7" s="6"/>
      <c r="O7" s="6"/>
      <c r="P7" s="6">
        <f>IFERROR(VLOOKUP(F7,'9. Retirements'!$B$6:$C$57,2,FALSE),)</f>
        <v>0</v>
      </c>
      <c r="Q7" s="7">
        <f>SUM(J7:P7)</f>
        <v>1430079.46</v>
      </c>
      <c r="R7" s="6">
        <f>ROUND(Q7*I7,0)</f>
        <v>286016</v>
      </c>
      <c r="S7" s="6"/>
      <c r="U7" s="13"/>
    </row>
    <row r="8" spans="1:32">
      <c r="A8" s="8"/>
      <c r="B8" s="8"/>
      <c r="C8" s="8"/>
      <c r="D8" s="8"/>
      <c r="E8" s="8" t="s">
        <v>843</v>
      </c>
      <c r="F8" s="8" t="str">
        <f>MID(E8,2,3)</f>
        <v>303</v>
      </c>
      <c r="G8" s="8"/>
      <c r="H8" s="8"/>
      <c r="I8" s="8"/>
      <c r="J8" s="292">
        <f t="shared" ref="J8" si="1">SUM(J7:J7)</f>
        <v>1430079.46</v>
      </c>
      <c r="K8" s="292">
        <f t="shared" ref="K8:R8" si="2">SUM(K7:K7)</f>
        <v>0</v>
      </c>
      <c r="L8" s="292">
        <f t="shared" si="2"/>
        <v>0</v>
      </c>
      <c r="M8" s="292">
        <f t="shared" si="2"/>
        <v>0</v>
      </c>
      <c r="N8" s="292">
        <f t="shared" si="2"/>
        <v>0</v>
      </c>
      <c r="O8" s="292">
        <f t="shared" si="2"/>
        <v>0</v>
      </c>
      <c r="P8" s="292">
        <f t="shared" si="2"/>
        <v>0</v>
      </c>
      <c r="Q8" s="292">
        <f t="shared" si="2"/>
        <v>1430079.46</v>
      </c>
      <c r="R8" s="292">
        <f t="shared" si="2"/>
        <v>286016</v>
      </c>
      <c r="S8" s="292">
        <f>'3. Depreciation Expense Dtl'!O10</f>
        <v>288044</v>
      </c>
      <c r="T8" s="292">
        <f>R8-S8</f>
        <v>-2028</v>
      </c>
      <c r="U8" s="13" t="s">
        <v>42</v>
      </c>
      <c r="V8" s="669" t="str">
        <f>LEFT(E8,4)</f>
        <v>G303</v>
      </c>
      <c r="W8" s="672">
        <f>'3. Depreciation Expense Dtl'!E10+'3. Depreciation Expense Dtl'!L10</f>
        <v>0</v>
      </c>
    </row>
    <row r="9" spans="1:32" s="10" customFormat="1">
      <c r="A9" s="8"/>
      <c r="B9" s="8"/>
      <c r="C9" s="8"/>
      <c r="D9" s="8"/>
      <c r="E9" s="8" t="s">
        <v>141</v>
      </c>
      <c r="F9" s="8"/>
      <c r="G9" s="9">
        <f>G6+G8</f>
        <v>0</v>
      </c>
      <c r="H9" s="9">
        <f>H6+H8</f>
        <v>0</v>
      </c>
      <c r="I9" s="9">
        <f>I6+I8</f>
        <v>0</v>
      </c>
      <c r="J9" s="292">
        <f>J6+J8</f>
        <v>1779969.68</v>
      </c>
      <c r="K9" s="292">
        <f t="shared" ref="K9:R9" si="3">K6+K8</f>
        <v>0</v>
      </c>
      <c r="L9" s="292">
        <f t="shared" si="3"/>
        <v>0</v>
      </c>
      <c r="M9" s="292">
        <f t="shared" si="3"/>
        <v>0</v>
      </c>
      <c r="N9" s="292">
        <f t="shared" si="3"/>
        <v>0</v>
      </c>
      <c r="O9" s="292">
        <f t="shared" si="3"/>
        <v>0</v>
      </c>
      <c r="P9" s="292">
        <f t="shared" si="3"/>
        <v>0</v>
      </c>
      <c r="Q9" s="292">
        <f t="shared" si="3"/>
        <v>1779969.68</v>
      </c>
      <c r="R9" s="292">
        <f t="shared" si="3"/>
        <v>300012</v>
      </c>
      <c r="S9" s="292">
        <f>S6+S8</f>
        <v>300425</v>
      </c>
      <c r="T9" s="292">
        <f>R9-S9</f>
        <v>-413</v>
      </c>
      <c r="U9" s="13"/>
      <c r="W9" s="673"/>
      <c r="X9" s="673"/>
      <c r="Y9" s="673"/>
      <c r="Z9" s="673"/>
      <c r="AA9" s="673"/>
      <c r="AB9" s="673"/>
      <c r="AC9" s="671"/>
      <c r="AD9" s="671"/>
    </row>
    <row r="10" spans="1:32">
      <c r="A10" s="5" t="str">
        <f>MID(F10,3,3)</f>
        <v>365</v>
      </c>
      <c r="C10" s="5" t="str">
        <f>MID(F10,8,5)</f>
        <v>00000</v>
      </c>
      <c r="D10" s="5" t="str">
        <f>CONCATENATE(A10,C10)</f>
        <v>36500000</v>
      </c>
      <c r="E10" s="10" t="s">
        <v>838</v>
      </c>
      <c r="F10" s="5" t="s">
        <v>839</v>
      </c>
      <c r="G10" s="12">
        <f>IFERROR(VLOOKUP($D10,'4. New Depr Rates'!$R$8:$W$69,2,FALSE),0)</f>
        <v>1.0999999999999999E-2</v>
      </c>
      <c r="H10" s="12">
        <f>IFERROR(VLOOKUP($D10,'4. New Depr Rates'!$R$8:$W$69,4,FALSE),0)</f>
        <v>0</v>
      </c>
      <c r="I10" s="12">
        <f>IFERROR(VLOOKUP($D10,'4. New Depr Rates'!$R$8:$W$69,6,FALSE),0)</f>
        <v>1.0999999999999999E-2</v>
      </c>
      <c r="J10" s="661">
        <f>IFERROR(VLOOKUP($F10,'1. BI Page 204-207'!$F$7:$L$148,7,FALSE),0)</f>
        <v>92530.22</v>
      </c>
      <c r="K10" s="6">
        <f>IFERROR(VLOOKUP($F10,'2. Post Test Year_Pivot'!$D$3:$E$22,2,FALSE),0)</f>
        <v>0</v>
      </c>
      <c r="L10" s="6"/>
      <c r="M10" s="6">
        <f>-'6. BuildOut Plant Proforma'!D19</f>
        <v>-4398</v>
      </c>
      <c r="N10" s="6"/>
      <c r="O10" s="6"/>
      <c r="P10" s="6">
        <f>IFERROR(VLOOKUP(F10,'9. Retirements'!$B$6:$C$57,2,FALSE),)</f>
        <v>0</v>
      </c>
      <c r="Q10" s="7">
        <f>SUM(J10:P10)</f>
        <v>88132.22</v>
      </c>
      <c r="R10" s="6">
        <f t="shared" ref="R10:R11" si="4">ROUND(Q10*I10,0)</f>
        <v>969</v>
      </c>
      <c r="S10" s="6"/>
      <c r="U10" s="13"/>
    </row>
    <row r="11" spans="1:32">
      <c r="A11" s="5" t="str">
        <f>MID(F11,3,3)</f>
        <v>365</v>
      </c>
      <c r="C11" s="5" t="str">
        <f>MID(F11,8,5)</f>
        <v>GRFTH</v>
      </c>
      <c r="D11" s="5" t="str">
        <f>CONCATENATE(A11,C11)</f>
        <v>365GRFTH</v>
      </c>
      <c r="E11" s="10"/>
      <c r="F11" s="5" t="s">
        <v>840</v>
      </c>
      <c r="G11" s="12">
        <f>IFERROR(VLOOKUP($D11,'4. New Depr Rates'!$R$8:$W$69,2,FALSE),0)</f>
        <v>1.0999999999999999E-2</v>
      </c>
      <c r="H11" s="12">
        <f>IFERROR(VLOOKUP($D11,'4. New Depr Rates'!$R$8:$W$69,4,FALSE),0)</f>
        <v>0</v>
      </c>
      <c r="I11" s="12">
        <f>IFERROR(VLOOKUP($D11,'4. New Depr Rates'!$R$8:$W$69,6,FALSE),0)</f>
        <v>1.0999999999999999E-2</v>
      </c>
      <c r="J11" s="661">
        <f>IFERROR(VLOOKUP($F11,'1. BI Page 204-207'!$F$7:$L$148,7,FALSE),0)</f>
        <v>10075.42</v>
      </c>
      <c r="K11" s="6">
        <f>IFERROR(VLOOKUP($F11,'2. Post Test Year_Pivot'!$D$3:$E$22,2,FALSE),0)</f>
        <v>0</v>
      </c>
      <c r="L11" s="6"/>
      <c r="M11" s="6"/>
      <c r="N11" s="6"/>
      <c r="O11" s="6">
        <f>-'8. Griffith Plant Proforma'!D11</f>
        <v>-10075.42</v>
      </c>
      <c r="P11" s="6">
        <f>IFERROR(VLOOKUP(F11,'9. Retirements'!$B$6:$C$57,2,FALSE),)</f>
        <v>0</v>
      </c>
      <c r="Q11" s="7">
        <f>SUM(J11:P11)</f>
        <v>0</v>
      </c>
      <c r="R11" s="6">
        <f t="shared" si="4"/>
        <v>0</v>
      </c>
      <c r="S11" s="6"/>
      <c r="U11" s="13"/>
      <c r="AA11" s="676"/>
      <c r="AB11" s="676"/>
      <c r="AC11" s="676"/>
      <c r="AD11" s="676"/>
      <c r="AE11" s="677"/>
      <c r="AF11" s="677"/>
    </row>
    <row r="12" spans="1:32">
      <c r="A12" s="8"/>
      <c r="B12" s="8"/>
      <c r="C12" s="8"/>
      <c r="D12" s="8"/>
      <c r="E12" s="600" t="s">
        <v>845</v>
      </c>
      <c r="F12" s="600" t="str">
        <f>MID(E12,2,3)</f>
        <v>365</v>
      </c>
      <c r="G12" s="600"/>
      <c r="H12" s="600"/>
      <c r="I12" s="600"/>
      <c r="J12" s="479">
        <f>SUM(J10:J11)</f>
        <v>102605.64</v>
      </c>
      <c r="K12" s="479">
        <f t="shared" ref="K12:R12" si="5">SUM(K10:K11)</f>
        <v>0</v>
      </c>
      <c r="L12" s="479">
        <f t="shared" si="5"/>
        <v>0</v>
      </c>
      <c r="M12" s="479">
        <f t="shared" si="5"/>
        <v>-4398</v>
      </c>
      <c r="N12" s="479">
        <f t="shared" si="5"/>
        <v>0</v>
      </c>
      <c r="O12" s="479">
        <f t="shared" si="5"/>
        <v>-10075.42</v>
      </c>
      <c r="P12" s="479">
        <f t="shared" si="5"/>
        <v>0</v>
      </c>
      <c r="Q12" s="479">
        <f t="shared" si="5"/>
        <v>88132.22</v>
      </c>
      <c r="R12" s="479">
        <f t="shared" si="5"/>
        <v>969</v>
      </c>
      <c r="S12" s="479">
        <f>'3. Depreciation Expense Dtl'!O14</f>
        <v>1009</v>
      </c>
      <c r="T12" s="292">
        <f>R12-S12</f>
        <v>-40</v>
      </c>
      <c r="U12" s="13" t="s">
        <v>43</v>
      </c>
      <c r="V12" s="669" t="str">
        <f>LEFT(E12,4)</f>
        <v>G365</v>
      </c>
      <c r="W12" s="672">
        <f>'3. Depreciation Expense Dtl'!E14+'3. Depreciation Expense Dtl'!L14</f>
        <v>-318.32</v>
      </c>
    </row>
    <row r="13" spans="1:32">
      <c r="A13" s="5" t="str">
        <f>MID(F13,3,3)</f>
        <v>366</v>
      </c>
      <c r="C13" s="5" t="str">
        <f>MID(F13,8,5)</f>
        <v>00000</v>
      </c>
      <c r="D13" s="5" t="str">
        <f>CONCATENATE(A13,C13)</f>
        <v>36600000</v>
      </c>
      <c r="E13" s="10" t="s">
        <v>841</v>
      </c>
      <c r="F13" s="5" t="s">
        <v>842</v>
      </c>
      <c r="G13" s="12">
        <f>IFERROR(VLOOKUP($D13,'4. New Depr Rates'!$R$8:$W$69,2,FALSE),0)</f>
        <v>1.26E-2</v>
      </c>
      <c r="H13" s="12">
        <f>IFERROR(VLOOKUP($D13,'4. New Depr Rates'!$R$8:$W$69,4,FALSE),0)</f>
        <v>0</v>
      </c>
      <c r="I13" s="12">
        <f>IFERROR(VLOOKUP($D13,'4. New Depr Rates'!$R$8:$W$69,6,FALSE),0)</f>
        <v>1.26E-2</v>
      </c>
      <c r="J13" s="661">
        <f>IFERROR(VLOOKUP($F13,'1. BI Page 204-207'!$F$7:$L$148,7,FALSE),0)</f>
        <v>21626.02</v>
      </c>
      <c r="K13" s="6">
        <f>IFERROR(VLOOKUP($F13,'2. Post Test Year_Pivot'!$D$3:$E$22,2,FALSE),0)</f>
        <v>0</v>
      </c>
      <c r="L13" s="6"/>
      <c r="M13" s="6">
        <f>-'6. BuildOut Plant Proforma'!D20</f>
        <v>-927</v>
      </c>
      <c r="N13" s="6"/>
      <c r="O13" s="6"/>
      <c r="P13" s="6">
        <f>IFERROR(VLOOKUP(F13,'9. Retirements'!$B$6:$C$57,2,FALSE),)</f>
        <v>0</v>
      </c>
      <c r="Q13" s="7">
        <f>SUM(J13:P13)</f>
        <v>20699.02</v>
      </c>
      <c r="R13" s="6">
        <f>ROUND(Q13*I13,0)</f>
        <v>261</v>
      </c>
      <c r="S13" s="6"/>
      <c r="U13" s="13"/>
    </row>
    <row r="14" spans="1:32">
      <c r="A14" s="8"/>
      <c r="B14" s="8"/>
      <c r="C14" s="8"/>
      <c r="D14" s="8"/>
      <c r="E14" s="8" t="s">
        <v>846</v>
      </c>
      <c r="F14" s="8" t="str">
        <f>MID(E14,2,3)</f>
        <v>366</v>
      </c>
      <c r="G14" s="8"/>
      <c r="H14" s="8"/>
      <c r="I14" s="8"/>
      <c r="J14" s="292">
        <f>SUM(J13:J13)</f>
        <v>21626.02</v>
      </c>
      <c r="K14" s="292">
        <f t="shared" ref="K14:R14" si="6">SUM(K13:K13)</f>
        <v>0</v>
      </c>
      <c r="L14" s="292">
        <f t="shared" si="6"/>
        <v>0</v>
      </c>
      <c r="M14" s="292">
        <f t="shared" si="6"/>
        <v>-927</v>
      </c>
      <c r="N14" s="292">
        <f t="shared" si="6"/>
        <v>0</v>
      </c>
      <c r="O14" s="292">
        <f t="shared" si="6"/>
        <v>0</v>
      </c>
      <c r="P14" s="292">
        <f t="shared" si="6"/>
        <v>0</v>
      </c>
      <c r="Q14" s="292">
        <f t="shared" si="6"/>
        <v>20699.02</v>
      </c>
      <c r="R14" s="292">
        <f t="shared" si="6"/>
        <v>261</v>
      </c>
      <c r="S14" s="292">
        <f>'3. Depreciation Expense Dtl'!O15</f>
        <v>257</v>
      </c>
      <c r="T14" s="292">
        <f>R14-S14</f>
        <v>4</v>
      </c>
      <c r="U14" s="13" t="s">
        <v>165</v>
      </c>
      <c r="V14" s="669" t="str">
        <f>LEFT(E14,4)</f>
        <v>G366</v>
      </c>
      <c r="W14" s="672">
        <f>'3. Depreciation Expense Dtl'!E15+'3. Depreciation Expense Dtl'!L15</f>
        <v>-53.04</v>
      </c>
    </row>
    <row r="15" spans="1:32">
      <c r="A15" s="5" t="str">
        <f>MID(F15,3,3)</f>
        <v>367</v>
      </c>
      <c r="C15" s="5" t="str">
        <f>MID(F15,8,5)</f>
        <v>00000</v>
      </c>
      <c r="D15" s="5" t="str">
        <f>CONCATENATE(A15,C15)</f>
        <v>36700000</v>
      </c>
      <c r="E15" s="10" t="s">
        <v>847</v>
      </c>
      <c r="F15" s="5" t="s">
        <v>848</v>
      </c>
      <c r="G15" s="12">
        <f>IFERROR(VLOOKUP($D15,'4. New Depr Rates'!$R$8:$W$69,2,FALSE),0)</f>
        <v>1.12E-2</v>
      </c>
      <c r="H15" s="12">
        <f>IFERROR(VLOOKUP($D15,'4. New Depr Rates'!$R$8:$W$69,4,FALSE),0)</f>
        <v>1.1999999999999999E-3</v>
      </c>
      <c r="I15" s="12">
        <f>IFERROR(VLOOKUP($D15,'4. New Depr Rates'!$R$8:$W$69,6,FALSE),0)</f>
        <v>1.24E-2</v>
      </c>
      <c r="J15" s="661">
        <f>IFERROR(VLOOKUP($F15,'1. BI Page 204-207'!$F$7:$L$148,7,FALSE),0)</f>
        <v>18765159.489999998</v>
      </c>
      <c r="K15" s="6">
        <f>IFERROR(VLOOKUP($F15,'2. Post Test Year_Pivot'!$D$3:$E$22,2,FALSE),0)</f>
        <v>0</v>
      </c>
      <c r="L15" s="6"/>
      <c r="M15" s="6">
        <f>-'6. BuildOut Plant Proforma'!D21</f>
        <v>-951045</v>
      </c>
      <c r="N15" s="6"/>
      <c r="O15" s="6"/>
      <c r="P15" s="6">
        <f>IFERROR(VLOOKUP(F15,'9. Retirements'!$B$6:$C$57,2,FALSE),)</f>
        <v>0</v>
      </c>
      <c r="Q15" s="7">
        <f>SUM(J15:P15)</f>
        <v>17814114.489999998</v>
      </c>
      <c r="R15" s="6">
        <f t="shared" ref="R15:R16" si="7">ROUND(Q15*I15,0)</f>
        <v>220895</v>
      </c>
      <c r="S15" s="6"/>
      <c r="U15" s="13"/>
    </row>
    <row r="16" spans="1:32">
      <c r="A16" s="5" t="str">
        <f>MID(F16,3,3)</f>
        <v>367</v>
      </c>
      <c r="C16" s="5" t="str">
        <f>MID(F16,8,5)</f>
        <v>GRFTH</v>
      </c>
      <c r="D16" s="5" t="str">
        <f>CONCATENATE(A16,C16)</f>
        <v>367GRFTH</v>
      </c>
      <c r="E16" s="10"/>
      <c r="F16" s="5" t="s">
        <v>849</v>
      </c>
      <c r="G16" s="12">
        <f>IFERROR(VLOOKUP($D16,'4. New Depr Rates'!$R$8:$W$69,2,FALSE),0)</f>
        <v>1.12E-2</v>
      </c>
      <c r="H16" s="12">
        <f>IFERROR(VLOOKUP($D16,'4. New Depr Rates'!$R$8:$W$69,4,FALSE),0)</f>
        <v>1.1999999999999999E-3</v>
      </c>
      <c r="I16" s="12">
        <f>IFERROR(VLOOKUP($D16,'4. New Depr Rates'!$R$8:$W$69,6,FALSE),0)</f>
        <v>1.24E-2</v>
      </c>
      <c r="J16" s="661">
        <f>IFERROR(VLOOKUP($F16,'1. BI Page 204-207'!$F$7:$L$148,7,FALSE),0)</f>
        <v>3421024.9</v>
      </c>
      <c r="K16" s="6">
        <f>IFERROR(VLOOKUP($F16,'2. Post Test Year_Pivot'!$D$3:$E$22,2,FALSE),0)</f>
        <v>0</v>
      </c>
      <c r="L16" s="6"/>
      <c r="M16" s="6"/>
      <c r="N16" s="6"/>
      <c r="O16" s="6">
        <f>-'8. Griffith Plant Proforma'!D7</f>
        <v>-3421024.9</v>
      </c>
      <c r="P16" s="6">
        <f>IFERROR(VLOOKUP(F16,'9. Retirements'!$B$6:$C$57,2,FALSE),)</f>
        <v>0</v>
      </c>
      <c r="Q16" s="7">
        <f>SUM(J16:P16)</f>
        <v>0</v>
      </c>
      <c r="R16" s="6">
        <f t="shared" si="7"/>
        <v>0</v>
      </c>
      <c r="S16" s="6"/>
      <c r="U16" s="13"/>
    </row>
    <row r="17" spans="1:30">
      <c r="A17" s="8"/>
      <c r="B17" s="8"/>
      <c r="C17" s="8"/>
      <c r="D17" s="8"/>
      <c r="E17" s="8" t="s">
        <v>850</v>
      </c>
      <c r="F17" s="8" t="str">
        <f>MID(E17,2,3)</f>
        <v>367</v>
      </c>
      <c r="G17" s="8"/>
      <c r="H17" s="8"/>
      <c r="I17" s="8"/>
      <c r="J17" s="292">
        <f>SUM(J15:J16)</f>
        <v>22186184.389999997</v>
      </c>
      <c r="K17" s="292">
        <f t="shared" ref="K17:R17" si="8">SUM(K15:K16)</f>
        <v>0</v>
      </c>
      <c r="L17" s="292">
        <f t="shared" si="8"/>
        <v>0</v>
      </c>
      <c r="M17" s="292">
        <f t="shared" si="8"/>
        <v>-951045</v>
      </c>
      <c r="N17" s="292">
        <f t="shared" si="8"/>
        <v>0</v>
      </c>
      <c r="O17" s="292">
        <f t="shared" si="8"/>
        <v>-3421024.9</v>
      </c>
      <c r="P17" s="292">
        <f t="shared" si="8"/>
        <v>0</v>
      </c>
      <c r="Q17" s="292">
        <f t="shared" si="8"/>
        <v>17814114.489999998</v>
      </c>
      <c r="R17" s="292">
        <f t="shared" si="8"/>
        <v>220895</v>
      </c>
      <c r="S17" s="292">
        <f>'3. Depreciation Expense Dtl'!O16</f>
        <v>284649</v>
      </c>
      <c r="T17" s="292">
        <f>R17-S17</f>
        <v>-63754</v>
      </c>
      <c r="U17" s="13" t="s">
        <v>45</v>
      </c>
      <c r="V17" s="669" t="str">
        <f>LEFT(E17,4)</f>
        <v>G367</v>
      </c>
      <c r="W17" s="672">
        <f>'3. Depreciation Expense Dtl'!E16+'3. Depreciation Expense Dtl'!L16</f>
        <v>-33353.440000000002</v>
      </c>
    </row>
    <row r="18" spans="1:30">
      <c r="A18" s="5" t="str">
        <f>MID(F18,3,3)</f>
        <v>369</v>
      </c>
      <c r="C18" s="5" t="str">
        <f>MID(F18,8,5)</f>
        <v>00000</v>
      </c>
      <c r="D18" s="5" t="str">
        <f>CONCATENATE(A18,C18)</f>
        <v>36900000</v>
      </c>
      <c r="E18" s="10" t="s">
        <v>851</v>
      </c>
      <c r="F18" s="5" t="s">
        <v>853</v>
      </c>
      <c r="G18" s="12">
        <f>IFERROR(VLOOKUP($D18,'4. New Depr Rates'!$R$8:$W$69,2,FALSE),0)</f>
        <v>1.12E-2</v>
      </c>
      <c r="H18" s="12">
        <f>IFERROR(VLOOKUP($D18,'4. New Depr Rates'!$R$8:$W$69,4,FALSE),0)</f>
        <v>6.9999999999999999E-4</v>
      </c>
      <c r="I18" s="12">
        <f>IFERROR(VLOOKUP($D18,'4. New Depr Rates'!$R$8:$W$69,6,FALSE),0)</f>
        <v>1.1899999999999999E-2</v>
      </c>
      <c r="J18" s="661">
        <f>IFERROR(VLOOKUP($F18,'1. BI Page 204-207'!$F$7:$L$148,7,FALSE),0)</f>
        <v>1016984.52</v>
      </c>
      <c r="K18" s="6">
        <f>IFERROR(VLOOKUP($F18,'2. Post Test Year_Pivot'!$D$3:$E$22,2,FALSE),0)</f>
        <v>0</v>
      </c>
      <c r="L18" s="6"/>
      <c r="M18" s="6">
        <f>-'6. BuildOut Plant Proforma'!D22</f>
        <v>-148343</v>
      </c>
      <c r="N18" s="6"/>
      <c r="O18" s="6"/>
      <c r="P18" s="6">
        <f>IFERROR(VLOOKUP(F18,'9. Retirements'!$B$6:$C$57,2,FALSE),)</f>
        <v>0</v>
      </c>
      <c r="Q18" s="7">
        <f>SUM(J18:P18)</f>
        <v>868641.52</v>
      </c>
      <c r="R18" s="6">
        <f t="shared" ref="R18:R19" si="9">ROUND(Q18*I18,0)</f>
        <v>10337</v>
      </c>
      <c r="S18" s="6"/>
      <c r="U18" s="13"/>
    </row>
    <row r="19" spans="1:30">
      <c r="A19" s="5" t="str">
        <f>MID(F19,3,3)</f>
        <v>369</v>
      </c>
      <c r="C19" s="5" t="str">
        <f>MID(F19,8,5)</f>
        <v>GRFTH</v>
      </c>
      <c r="D19" s="5" t="str">
        <f>CONCATENATE(A19,C19)</f>
        <v>369GRFTH</v>
      </c>
      <c r="E19" s="10"/>
      <c r="F19" s="5" t="s">
        <v>854</v>
      </c>
      <c r="G19" s="12">
        <f>IFERROR(VLOOKUP($D19,'4. New Depr Rates'!$R$8:$W$69,2,FALSE),0)</f>
        <v>1.12E-2</v>
      </c>
      <c r="H19" s="12">
        <f>IFERROR(VLOOKUP($D19,'4. New Depr Rates'!$R$8:$W$69,4,FALSE),0)</f>
        <v>6.9999999999999999E-4</v>
      </c>
      <c r="I19" s="12">
        <f>IFERROR(VLOOKUP($D19,'4. New Depr Rates'!$R$8:$W$69,6,FALSE),0)</f>
        <v>1.1899999999999999E-2</v>
      </c>
      <c r="J19" s="661">
        <f>IFERROR(VLOOKUP($F19,'1. BI Page 204-207'!$F$7:$L$148,7,FALSE),0)</f>
        <v>2443601.15</v>
      </c>
      <c r="K19" s="6">
        <f>IFERROR(VLOOKUP($F19,'2. Post Test Year_Pivot'!$D$3:$E$22,2,FALSE),0)</f>
        <v>0</v>
      </c>
      <c r="L19" s="6"/>
      <c r="M19" s="6"/>
      <c r="N19" s="6"/>
      <c r="O19" s="6">
        <f>-'8. Griffith Plant Proforma'!D8</f>
        <v>-2443601.15</v>
      </c>
      <c r="P19" s="6">
        <f>IFERROR(VLOOKUP(F19,'9. Retirements'!$B$6:$C$57,2,FALSE),)</f>
        <v>0</v>
      </c>
      <c r="Q19" s="7">
        <f>SUM(J19:P19)</f>
        <v>0</v>
      </c>
      <c r="R19" s="6">
        <f t="shared" si="9"/>
        <v>0</v>
      </c>
      <c r="S19" s="6"/>
      <c r="U19" s="13"/>
    </row>
    <row r="20" spans="1:30">
      <c r="A20" s="8"/>
      <c r="B20" s="8"/>
      <c r="C20" s="8"/>
      <c r="D20" s="8"/>
      <c r="E20" s="8" t="s">
        <v>852</v>
      </c>
      <c r="F20" s="8" t="str">
        <f>MID(E20,2,3)</f>
        <v>369</v>
      </c>
      <c r="G20" s="8"/>
      <c r="H20" s="8"/>
      <c r="I20" s="8"/>
      <c r="J20" s="292">
        <f>SUM(J18:J19)</f>
        <v>3460585.67</v>
      </c>
      <c r="K20" s="292">
        <f t="shared" ref="K20:R20" si="10">SUM(K18:K19)</f>
        <v>0</v>
      </c>
      <c r="L20" s="292">
        <f t="shared" si="10"/>
        <v>0</v>
      </c>
      <c r="M20" s="292">
        <f t="shared" si="10"/>
        <v>-148343</v>
      </c>
      <c r="N20" s="292">
        <f t="shared" si="10"/>
        <v>0</v>
      </c>
      <c r="O20" s="292">
        <f t="shared" si="10"/>
        <v>-2443601.15</v>
      </c>
      <c r="P20" s="292">
        <f t="shared" si="10"/>
        <v>0</v>
      </c>
      <c r="Q20" s="292">
        <f t="shared" si="10"/>
        <v>868641.52</v>
      </c>
      <c r="R20" s="292">
        <f t="shared" si="10"/>
        <v>10337</v>
      </c>
      <c r="S20" s="292">
        <f>'3. Depreciation Expense Dtl'!O17</f>
        <v>40223</v>
      </c>
      <c r="T20" s="292">
        <f>R20-S20</f>
        <v>-29886</v>
      </c>
      <c r="U20" s="13" t="s">
        <v>46</v>
      </c>
      <c r="V20" s="669" t="str">
        <f>LEFT(E20,4)</f>
        <v>G369</v>
      </c>
      <c r="W20" s="672">
        <f>'3. Depreciation Expense Dtl'!E17+'3. Depreciation Expense Dtl'!L17</f>
        <v>-9263.3599999999988</v>
      </c>
    </row>
    <row r="21" spans="1:30">
      <c r="A21" s="5" t="str">
        <f>MID(F21,3,3)</f>
        <v>371</v>
      </c>
      <c r="C21" s="5" t="str">
        <f>MID(F21,8,5)</f>
        <v>GRFTH</v>
      </c>
      <c r="D21" s="5" t="str">
        <f>CONCATENATE(A21,C21)</f>
        <v>371GRFTH</v>
      </c>
      <c r="E21" s="10" t="s">
        <v>855</v>
      </c>
      <c r="F21" s="5" t="s">
        <v>857</v>
      </c>
      <c r="G21" s="12">
        <f>IFERROR(VLOOKUP($D21,'4. New Depr Rates'!$R$8:$W$69,2,FALSE),0)</f>
        <v>-3.1E-2</v>
      </c>
      <c r="H21" s="12">
        <f>IFERROR(VLOOKUP($D21,'4. New Depr Rates'!$R$8:$W$69,4,FALSE),0)</f>
        <v>0</v>
      </c>
      <c r="I21" s="12">
        <f>IFERROR(VLOOKUP($D21,'4. New Depr Rates'!$R$8:$W$69,6,FALSE),0)</f>
        <v>-3.1E-2</v>
      </c>
      <c r="J21" s="661">
        <f>IFERROR(VLOOKUP($F21,'1. BI Page 204-207'!$F$7:$L$148,7,FALSE),0)</f>
        <v>183581.23</v>
      </c>
      <c r="K21" s="6">
        <f>IFERROR(VLOOKUP($F21,'2. Post Test Year_Pivot'!$D$3:$E$22,2,FALSE),0)</f>
        <v>0</v>
      </c>
      <c r="L21" s="6"/>
      <c r="M21" s="6"/>
      <c r="N21" s="6"/>
      <c r="O21" s="6">
        <f>-'8. Griffith Plant Proforma'!D12</f>
        <v>-183581.23</v>
      </c>
      <c r="P21" s="6">
        <f>IFERROR(VLOOKUP(F21,'9. Retirements'!$B$6:$C$57,2,FALSE),)</f>
        <v>0</v>
      </c>
      <c r="Q21" s="7">
        <f>SUM(J21:P21)</f>
        <v>0</v>
      </c>
      <c r="R21" s="6">
        <f>ROUND(Q21*I21,0)</f>
        <v>0</v>
      </c>
      <c r="S21" s="6"/>
      <c r="U21" s="13"/>
    </row>
    <row r="22" spans="1:30">
      <c r="A22" s="8"/>
      <c r="B22" s="8"/>
      <c r="C22" s="8"/>
      <c r="D22" s="8"/>
      <c r="E22" s="8" t="s">
        <v>856</v>
      </c>
      <c r="F22" s="8" t="str">
        <f>MID(E22,2,3)</f>
        <v>371</v>
      </c>
      <c r="G22" s="8"/>
      <c r="H22" s="8"/>
      <c r="I22" s="8"/>
      <c r="J22" s="292">
        <f>SUM(J21:J21)</f>
        <v>183581.23</v>
      </c>
      <c r="K22" s="292">
        <f t="shared" ref="K22:R22" si="11">SUM(K21:K21)</f>
        <v>0</v>
      </c>
      <c r="L22" s="292">
        <f t="shared" si="11"/>
        <v>0</v>
      </c>
      <c r="M22" s="292">
        <f t="shared" si="11"/>
        <v>0</v>
      </c>
      <c r="N22" s="292">
        <f t="shared" si="11"/>
        <v>0</v>
      </c>
      <c r="O22" s="292">
        <f t="shared" si="11"/>
        <v>-183581.23</v>
      </c>
      <c r="P22" s="292">
        <f t="shared" si="11"/>
        <v>0</v>
      </c>
      <c r="Q22" s="292">
        <f t="shared" si="11"/>
        <v>0</v>
      </c>
      <c r="R22" s="292">
        <f t="shared" si="11"/>
        <v>0</v>
      </c>
      <c r="S22" s="292">
        <f>'3. Depreciation Expense Dtl'!O18</f>
        <v>178</v>
      </c>
      <c r="T22" s="292">
        <f>R22-S22</f>
        <v>-178</v>
      </c>
      <c r="U22" s="13" t="s">
        <v>415</v>
      </c>
      <c r="V22" s="669" t="str">
        <f>LEFT(E22,4)</f>
        <v>G371</v>
      </c>
      <c r="W22" s="672">
        <f>'3. Depreciation Expense Dtl'!E18+'3. Depreciation Expense Dtl'!L18</f>
        <v>-861.83999999999992</v>
      </c>
    </row>
    <row r="23" spans="1:30">
      <c r="A23" s="8"/>
      <c r="B23" s="8"/>
      <c r="C23" s="8"/>
      <c r="D23" s="8"/>
      <c r="E23" s="8" t="s">
        <v>141</v>
      </c>
      <c r="F23" s="8"/>
      <c r="G23" s="8"/>
      <c r="H23" s="8"/>
      <c r="I23" s="8"/>
      <c r="J23" s="292">
        <f>SUM(J22,J20,J17,J14,J12)</f>
        <v>25954582.949999996</v>
      </c>
      <c r="K23" s="292">
        <f t="shared" ref="K23:R23" si="12">SUM(K22,K20,K17,K14,K12)</f>
        <v>0</v>
      </c>
      <c r="L23" s="292">
        <f t="shared" si="12"/>
        <v>0</v>
      </c>
      <c r="M23" s="292">
        <f t="shared" si="12"/>
        <v>-1104713</v>
      </c>
      <c r="N23" s="292">
        <f t="shared" si="12"/>
        <v>0</v>
      </c>
      <c r="O23" s="292">
        <f t="shared" si="12"/>
        <v>-6058282.6999999993</v>
      </c>
      <c r="P23" s="292">
        <f t="shared" si="12"/>
        <v>0</v>
      </c>
      <c r="Q23" s="292">
        <f t="shared" si="12"/>
        <v>18791587.249999996</v>
      </c>
      <c r="R23" s="292">
        <f t="shared" si="12"/>
        <v>232462</v>
      </c>
      <c r="S23" s="292">
        <f>SUM(S22,S20,S17,S14,S12)</f>
        <v>326316</v>
      </c>
      <c r="T23" s="292">
        <f>R23-S23</f>
        <v>-93854</v>
      </c>
      <c r="U23" s="13"/>
    </row>
    <row r="24" spans="1:30">
      <c r="A24" s="5" t="str">
        <f>MID(F24,3,3)</f>
        <v>374</v>
      </c>
      <c r="C24" s="5" t="str">
        <f>MID(F24,8,5)</f>
        <v>00000</v>
      </c>
      <c r="D24" s="5" t="str">
        <f>CONCATENATE(A24,C24)</f>
        <v>37400000</v>
      </c>
      <c r="E24" s="10" t="s">
        <v>858</v>
      </c>
      <c r="F24" s="434" t="s">
        <v>860</v>
      </c>
      <c r="G24" s="435">
        <v>0</v>
      </c>
      <c r="H24" s="435">
        <f>IFERROR(VLOOKUP($D24,'4. New Depr Rates'!$R$8:$W$69,4,FALSE),0)</f>
        <v>0</v>
      </c>
      <c r="I24" s="435">
        <v>0</v>
      </c>
      <c r="J24" s="661">
        <f>IFERROR(VLOOKUP($F24,'1. BI Page 204-207'!$F$7:$L$148,7,FALSE),0)</f>
        <v>96764.43</v>
      </c>
      <c r="K24" s="6">
        <f>IFERROR(VLOOKUP($F24,'2. Post Test Year_Pivot'!$D$3:$E$22,2,FALSE),0)</f>
        <v>0</v>
      </c>
      <c r="L24" s="6"/>
      <c r="M24" s="6"/>
      <c r="N24" s="6"/>
      <c r="O24" s="6"/>
      <c r="P24" s="6">
        <f>IFERROR(VLOOKUP(F24,'9. Retirements'!$B$6:$C$57,2,FALSE),)</f>
        <v>0</v>
      </c>
      <c r="Q24" s="7">
        <f t="shared" ref="Q24:Q27" si="13">SUM(J24:P24)</f>
        <v>96764.43</v>
      </c>
      <c r="R24" s="6">
        <f t="shared" ref="R24:R27" si="14">ROUND(Q24*I24,0)</f>
        <v>0</v>
      </c>
      <c r="S24" s="6"/>
      <c r="U24" s="13"/>
    </row>
    <row r="25" spans="1:30">
      <c r="A25" s="5" t="str">
        <f>MID(F25,3,3)</f>
        <v>374</v>
      </c>
      <c r="C25" s="5" t="str">
        <f>MID(F25,8,5)</f>
        <v>00000</v>
      </c>
      <c r="D25" s="5" t="str">
        <f>CONCATENATE(A25,C25)</f>
        <v>37400000</v>
      </c>
      <c r="E25" s="10"/>
      <c r="F25" s="5" t="s">
        <v>1296</v>
      </c>
      <c r="G25" s="12">
        <f>IFERROR(VLOOKUP($D25,'4. New Depr Rates'!$R$8:$W$69,2,FALSE),0)</f>
        <v>1.7399999999999999E-2</v>
      </c>
      <c r="H25" s="12">
        <f>IFERROR(VLOOKUP($D25,'4. New Depr Rates'!$R$8:$W$69,4,FALSE),0)</f>
        <v>0</v>
      </c>
      <c r="I25" s="12">
        <f>IFERROR(VLOOKUP($D25,'4. New Depr Rates'!$R$8:$W$69,6,FALSE),0)</f>
        <v>1.7399999999999999E-2</v>
      </c>
      <c r="J25" s="661">
        <f>IFERROR(VLOOKUP($F25,'1. BI Page 204-207'!$F$7:$L$148,7,FALSE),0)</f>
        <v>62223.63</v>
      </c>
      <c r="K25" s="6">
        <f>IFERROR(VLOOKUP($F25,'2. Post Test Year_Pivot'!$D$3:$E$22,2,FALSE),0)</f>
        <v>0</v>
      </c>
      <c r="L25" s="6"/>
      <c r="M25" s="6"/>
      <c r="N25" s="6"/>
      <c r="O25" s="6"/>
      <c r="P25" s="6">
        <f>IFERROR(VLOOKUP(F25,'9. Retirements'!$B$6:$C$57,2,FALSE),)</f>
        <v>0</v>
      </c>
      <c r="Q25" s="7">
        <f t="shared" si="13"/>
        <v>62223.63</v>
      </c>
      <c r="R25" s="6">
        <f t="shared" si="14"/>
        <v>1083</v>
      </c>
      <c r="S25" s="6"/>
      <c r="U25" s="13"/>
    </row>
    <row r="26" spans="1:30">
      <c r="A26" s="5" t="str">
        <f>MID(F26,3,3)</f>
        <v>374</v>
      </c>
      <c r="C26" s="5" t="str">
        <f>MID(F26,8,5)</f>
        <v>00000</v>
      </c>
      <c r="D26" s="5" t="str">
        <f>CONCATENATE(A26,C26)</f>
        <v>37400000</v>
      </c>
      <c r="E26" s="10"/>
      <c r="F26" s="5" t="s">
        <v>861</v>
      </c>
      <c r="G26" s="12">
        <f>IFERROR(VLOOKUP($D26,'4. New Depr Rates'!$R$8:$W$69,2,FALSE),0)</f>
        <v>1.7399999999999999E-2</v>
      </c>
      <c r="H26" s="12">
        <f>IFERROR(VLOOKUP($D26,'4. New Depr Rates'!$R$8:$W$69,4,FALSE),0)</f>
        <v>0</v>
      </c>
      <c r="I26" s="12">
        <f>IFERROR(VLOOKUP($D26,'4. New Depr Rates'!$R$8:$W$69,6,FALSE),0)</f>
        <v>1.7399999999999999E-2</v>
      </c>
      <c r="J26" s="661">
        <f>IFERROR(VLOOKUP($F26,'1. BI Page 204-207'!$F$7:$L$148,7,FALSE),0)</f>
        <v>283027.49</v>
      </c>
      <c r="K26" s="6">
        <f>IFERROR(VLOOKUP($F26,'2. Post Test Year_Pivot'!$D$3:$E$22,2,FALSE),0)</f>
        <v>129324</v>
      </c>
      <c r="L26" s="6"/>
      <c r="M26" s="6">
        <f>-'6. BuildOut Plant Proforma'!D24</f>
        <v>-19413</v>
      </c>
      <c r="N26" s="6"/>
      <c r="O26" s="6"/>
      <c r="P26" s="6">
        <f>IFERROR(VLOOKUP(F26,'9. Retirements'!$B$6:$C$57,2,FALSE),)</f>
        <v>-6746.53</v>
      </c>
      <c r="Q26" s="7">
        <f t="shared" si="13"/>
        <v>386191.95999999996</v>
      </c>
      <c r="R26" s="6">
        <f t="shared" si="14"/>
        <v>6720</v>
      </c>
      <c r="S26" s="6"/>
      <c r="U26" s="13"/>
    </row>
    <row r="27" spans="1:30">
      <c r="A27" s="5" t="str">
        <f>MID(F27,3,3)</f>
        <v>374</v>
      </c>
      <c r="C27" s="5" t="str">
        <f>MID(F27,8,5)</f>
        <v>00000</v>
      </c>
      <c r="D27" s="5" t="str">
        <f>CONCATENATE(A27,C27)</f>
        <v>37400000</v>
      </c>
      <c r="E27" s="10"/>
      <c r="F27" s="5" t="s">
        <v>862</v>
      </c>
      <c r="G27" s="12">
        <f>IFERROR(VLOOKUP($D27,'4. New Depr Rates'!$R$8:$W$69,2,FALSE),0)</f>
        <v>1.7399999999999999E-2</v>
      </c>
      <c r="H27" s="12">
        <f>IFERROR(VLOOKUP($D27,'4. New Depr Rates'!$R$8:$W$69,4,FALSE),0)</f>
        <v>0</v>
      </c>
      <c r="I27" s="12">
        <f>IFERROR(VLOOKUP($D27,'4. New Depr Rates'!$R$8:$W$69,6,FALSE),0)</f>
        <v>1.7399999999999999E-2</v>
      </c>
      <c r="J27" s="661">
        <f>IFERROR(VLOOKUP($F27,'1. BI Page 204-207'!$F$7:$L$148,7,FALSE),0)</f>
        <v>74403.67</v>
      </c>
      <c r="K27" s="6">
        <f>IFERROR(VLOOKUP($F27,'2. Post Test Year_Pivot'!$D$3:$E$22,2,FALSE),0)</f>
        <v>0</v>
      </c>
      <c r="L27" s="6"/>
      <c r="M27" s="6"/>
      <c r="N27" s="6"/>
      <c r="O27" s="6"/>
      <c r="P27" s="6">
        <f>IFERROR(VLOOKUP(F27,'9. Retirements'!$B$6:$C$57,2,FALSE),)</f>
        <v>-3009.41</v>
      </c>
      <c r="Q27" s="7">
        <f t="shared" si="13"/>
        <v>71394.259999999995</v>
      </c>
      <c r="R27" s="6">
        <f t="shared" si="14"/>
        <v>1242</v>
      </c>
      <c r="S27" s="6"/>
      <c r="U27" s="13"/>
    </row>
    <row r="28" spans="1:30">
      <c r="A28" s="8"/>
      <c r="B28" s="8"/>
      <c r="C28" s="8"/>
      <c r="D28" s="8"/>
      <c r="E28" s="8" t="s">
        <v>859</v>
      </c>
      <c r="F28" s="8" t="str">
        <f>MID(E28,2,3)</f>
        <v>374</v>
      </c>
      <c r="G28" s="8"/>
      <c r="H28" s="8"/>
      <c r="I28" s="8"/>
      <c r="J28" s="292">
        <f t="shared" ref="J28:R28" si="15">SUM(J24:J27)</f>
        <v>516419.22</v>
      </c>
      <c r="K28" s="292">
        <f t="shared" si="15"/>
        <v>129324</v>
      </c>
      <c r="L28" s="292">
        <f t="shared" si="15"/>
        <v>0</v>
      </c>
      <c r="M28" s="292">
        <f t="shared" si="15"/>
        <v>-19413</v>
      </c>
      <c r="N28" s="292">
        <f t="shared" si="15"/>
        <v>0</v>
      </c>
      <c r="O28" s="292">
        <f t="shared" si="15"/>
        <v>0</v>
      </c>
      <c r="P28" s="292">
        <f t="shared" si="15"/>
        <v>-9755.9399999999987</v>
      </c>
      <c r="Q28" s="292">
        <f t="shared" si="15"/>
        <v>616574.28</v>
      </c>
      <c r="R28" s="292">
        <f t="shared" si="15"/>
        <v>9045</v>
      </c>
      <c r="S28" s="292">
        <f>'3. Depreciation Expense Dtl'!O22</f>
        <v>4243</v>
      </c>
      <c r="T28" s="292">
        <f>R28-S28</f>
        <v>4802</v>
      </c>
      <c r="U28" s="13" t="s">
        <v>166</v>
      </c>
      <c r="V28" s="669" t="str">
        <f>LEFT(E28,4)</f>
        <v>G374</v>
      </c>
      <c r="W28" s="672">
        <f>'3. Depreciation Expense Dtl'!E22+'3. Depreciation Expense Dtl'!L22</f>
        <v>-465.91999999999996</v>
      </c>
    </row>
    <row r="29" spans="1:30">
      <c r="A29" s="5" t="str">
        <f>MID(F29,3,3)</f>
        <v>375</v>
      </c>
      <c r="C29" s="5" t="str">
        <f>MID(F29,8,5)</f>
        <v>00000</v>
      </c>
      <c r="D29" s="5" t="str">
        <f>CONCATENATE(A29,C29)</f>
        <v>37500000</v>
      </c>
      <c r="E29" s="10" t="s">
        <v>864</v>
      </c>
      <c r="F29" s="171" t="s">
        <v>865</v>
      </c>
      <c r="G29" s="12">
        <f>IFERROR(VLOOKUP($D29,'4. New Depr Rates'!$R$8:$W$69,2,FALSE),0)</f>
        <v>2.3700000000000002E-2</v>
      </c>
      <c r="H29" s="12">
        <f>IFERROR(VLOOKUP($D29,'4. New Depr Rates'!$R$8:$W$69,4,FALSE),0)</f>
        <v>0</v>
      </c>
      <c r="I29" s="12">
        <f>IFERROR(VLOOKUP($D29,'4. New Depr Rates'!$R$8:$W$69,6,FALSE),0)</f>
        <v>2.3700000000000002E-2</v>
      </c>
      <c r="J29" s="661">
        <f>IFERROR(VLOOKUP($F29,'1. BI Page 204-207'!$F$7:$L$148,7,FALSE),0)</f>
        <v>190210.65</v>
      </c>
      <c r="K29" s="6">
        <f>IFERROR(VLOOKUP($F29,'2. Post Test Year_Pivot'!$D$3:$E$22,2,FALSE),0)</f>
        <v>0</v>
      </c>
      <c r="L29" s="6"/>
      <c r="M29" s="6">
        <f>-'6. BuildOut Plant Proforma'!D25</f>
        <v>-6994</v>
      </c>
      <c r="N29" s="6"/>
      <c r="O29" s="6"/>
      <c r="P29" s="6">
        <f>IFERROR(VLOOKUP(F29,'9. Retirements'!$B$6:$C$57,2,FALSE),)</f>
        <v>-246.11</v>
      </c>
      <c r="Q29" s="7">
        <f>SUM(J29:P29)</f>
        <v>182970.54</v>
      </c>
      <c r="R29" s="6">
        <f>ROUND(Q29*I29,0)</f>
        <v>4336</v>
      </c>
      <c r="S29" s="6"/>
      <c r="U29" s="13"/>
    </row>
    <row r="30" spans="1:30">
      <c r="A30" s="8"/>
      <c r="B30" s="8"/>
      <c r="C30" s="8"/>
      <c r="D30" s="8"/>
      <c r="E30" s="8" t="s">
        <v>866</v>
      </c>
      <c r="F30" s="8" t="str">
        <f>MID(E30,2,3)</f>
        <v>375</v>
      </c>
      <c r="G30" s="8"/>
      <c r="H30" s="8"/>
      <c r="I30" s="8"/>
      <c r="J30" s="292">
        <f>SUM(J29:J29)</f>
        <v>190210.65</v>
      </c>
      <c r="K30" s="292">
        <f t="shared" ref="K30:R30" si="16">SUM(K29:K29)</f>
        <v>0</v>
      </c>
      <c r="L30" s="292">
        <f t="shared" si="16"/>
        <v>0</v>
      </c>
      <c r="M30" s="292">
        <f t="shared" si="16"/>
        <v>-6994</v>
      </c>
      <c r="N30" s="292">
        <f t="shared" si="16"/>
        <v>0</v>
      </c>
      <c r="O30" s="292">
        <f t="shared" si="16"/>
        <v>0</v>
      </c>
      <c r="P30" s="292">
        <f t="shared" si="16"/>
        <v>-246.11</v>
      </c>
      <c r="Q30" s="292">
        <f t="shared" si="16"/>
        <v>182970.54</v>
      </c>
      <c r="R30" s="292">
        <f t="shared" si="16"/>
        <v>4336</v>
      </c>
      <c r="S30" s="292">
        <f>'3. Depreciation Expense Dtl'!O23</f>
        <v>3913</v>
      </c>
      <c r="T30" s="292">
        <f>R30-S30</f>
        <v>423</v>
      </c>
      <c r="U30" s="13" t="s">
        <v>167</v>
      </c>
      <c r="V30" s="669" t="str">
        <f>LEFT(E30,4)</f>
        <v>G375</v>
      </c>
      <c r="W30" s="672">
        <f>'3. Depreciation Expense Dtl'!E23+'3. Depreciation Expense Dtl'!L23</f>
        <v>-7.04</v>
      </c>
    </row>
    <row r="31" spans="1:30">
      <c r="A31" s="5" t="str">
        <f>MID(F31,3,3)</f>
        <v>376</v>
      </c>
      <c r="C31" s="5" t="str">
        <f>MID(F31,8,5)</f>
        <v>00000</v>
      </c>
      <c r="D31" s="5" t="str">
        <f>CONCATENATE(A31,C31)</f>
        <v>37600000</v>
      </c>
      <c r="E31" s="10" t="s">
        <v>867</v>
      </c>
      <c r="F31" s="5" t="s">
        <v>869</v>
      </c>
      <c r="G31" s="12">
        <f>IFERROR(VLOOKUP($D31,'4. New Depr Rates'!$R$8:$W$69,2,FALSE),0)</f>
        <v>1.52E-2</v>
      </c>
      <c r="H31" s="12">
        <f>IFERROR(VLOOKUP($D31,'4. New Depr Rates'!$R$8:$W$69,4,FALSE),0)</f>
        <v>6.000000000000001E-3</v>
      </c>
      <c r="I31" s="12">
        <f>IFERROR(VLOOKUP($D31,'4. New Depr Rates'!$R$8:$W$69,6,FALSE),0)</f>
        <v>2.12E-2</v>
      </c>
      <c r="J31" s="661">
        <f>IFERROR(VLOOKUP($F31,'1. BI Page 204-207'!$F$7:$L$148,7,FALSE),0)</f>
        <v>261387818.05000001</v>
      </c>
      <c r="K31" s="6">
        <f>IFERROR(VLOOKUP($F31,'2. Post Test Year_Pivot'!$D$3:$E$22,2,FALSE),0)</f>
        <v>2916070</v>
      </c>
      <c r="L31" s="6"/>
      <c r="M31" s="6">
        <f>-'6. BuildOut Plant Proforma'!D26</f>
        <v>-11122406</v>
      </c>
      <c r="N31" s="6">
        <f>-'7. GoldenValley Pipeline Profor'!D8</f>
        <v>-3327244.1231445004</v>
      </c>
      <c r="O31" s="6"/>
      <c r="P31" s="6">
        <f>IFERROR(VLOOKUP(F31,'9. Retirements'!$B$6:$C$57,2,FALSE),)</f>
        <v>-872050.22</v>
      </c>
      <c r="Q31" s="7">
        <f>SUM(J31:P31)</f>
        <v>248982187.70685551</v>
      </c>
      <c r="R31" s="6">
        <f>ROUND(Q31*I31,0)</f>
        <v>5278422</v>
      </c>
      <c r="S31" s="6"/>
      <c r="U31" s="13"/>
    </row>
    <row r="32" spans="1:30">
      <c r="A32" s="8"/>
      <c r="B32" s="8"/>
      <c r="C32" s="8"/>
      <c r="D32" s="8"/>
      <c r="E32" s="8" t="s">
        <v>868</v>
      </c>
      <c r="F32" s="8" t="str">
        <f>MID(E32,2,3)</f>
        <v>376</v>
      </c>
      <c r="G32" s="8"/>
      <c r="H32" s="8"/>
      <c r="I32" s="8"/>
      <c r="J32" s="292">
        <f t="shared" ref="J32:R32" si="17">SUM(J31:J31)</f>
        <v>261387818.05000001</v>
      </c>
      <c r="K32" s="292">
        <f t="shared" si="17"/>
        <v>2916070</v>
      </c>
      <c r="L32" s="292">
        <f t="shared" si="17"/>
        <v>0</v>
      </c>
      <c r="M32" s="292">
        <f t="shared" si="17"/>
        <v>-11122406</v>
      </c>
      <c r="N32" s="292">
        <f t="shared" si="17"/>
        <v>-3327244.1231445004</v>
      </c>
      <c r="O32" s="292">
        <f t="shared" si="17"/>
        <v>0</v>
      </c>
      <c r="P32" s="292">
        <f t="shared" si="17"/>
        <v>-872050.22</v>
      </c>
      <c r="Q32" s="292">
        <f t="shared" si="17"/>
        <v>248982187.70685551</v>
      </c>
      <c r="R32" s="292">
        <f t="shared" si="17"/>
        <v>5278422</v>
      </c>
      <c r="S32" s="292">
        <f>'3. Depreciation Expense Dtl'!O24</f>
        <v>5108068</v>
      </c>
      <c r="T32" s="292">
        <f>R32-S32</f>
        <v>170354</v>
      </c>
      <c r="U32" s="13" t="s">
        <v>416</v>
      </c>
      <c r="V32" s="669" t="str">
        <f>LEFT(E32,4)</f>
        <v>G376</v>
      </c>
      <c r="W32" s="672">
        <f>'3. Depreciation Expense Dtl'!E24+'3. Depreciation Expense Dtl'!L24</f>
        <v>-316162.40000000002</v>
      </c>
      <c r="X32" s="672">
        <f>(K32+M32+N32)*I31</f>
        <v>-244511.8986106634</v>
      </c>
      <c r="Y32" s="672">
        <f>J32*Z32</f>
        <v>78416.345415000003</v>
      </c>
      <c r="Z32" s="674">
        <v>2.9999999999999997E-4</v>
      </c>
      <c r="AA32" s="672">
        <f>Y32+X32-W32</f>
        <v>150066.84680433664</v>
      </c>
      <c r="AB32" s="672">
        <v>-38196</v>
      </c>
      <c r="AC32" s="262">
        <f>AA32+AB32</f>
        <v>111870.84680433664</v>
      </c>
      <c r="AD32" s="672" t="s">
        <v>1380</v>
      </c>
    </row>
    <row r="33" spans="1:30">
      <c r="A33" s="5" t="str">
        <f>MID(F33,3,3)</f>
        <v>378</v>
      </c>
      <c r="C33" s="5" t="str">
        <f>MID(F33,8,5)</f>
        <v>00000</v>
      </c>
      <c r="D33" s="5" t="str">
        <f>CONCATENATE(A33,C33)</f>
        <v>37800000</v>
      </c>
      <c r="E33" s="10" t="s">
        <v>870</v>
      </c>
      <c r="F33" s="5" t="s">
        <v>872</v>
      </c>
      <c r="G33" s="12">
        <f>IFERROR(VLOOKUP($D33,'4. New Depr Rates'!$R$8:$W$69,2,FALSE),0)</f>
        <v>1.7899999999999999E-2</v>
      </c>
      <c r="H33" s="12">
        <f>IFERROR(VLOOKUP($D33,'4. New Depr Rates'!$R$8:$W$69,4,FALSE),0)</f>
        <v>7.0999999999999995E-3</v>
      </c>
      <c r="I33" s="12">
        <f>IFERROR(VLOOKUP($D33,'4. New Depr Rates'!$R$8:$W$69,6,FALSE),0)</f>
        <v>2.4999999999999998E-2</v>
      </c>
      <c r="J33" s="661">
        <f>IFERROR(VLOOKUP($F33,'1. BI Page 204-207'!$F$7:$L$148,7,FALSE),0)</f>
        <v>5597577.1799999997</v>
      </c>
      <c r="K33" s="6">
        <f>IFERROR(VLOOKUP($F33,'2. Post Test Year_Pivot'!$D$3:$E$22,2,FALSE),0)</f>
        <v>437169</v>
      </c>
      <c r="L33" s="6"/>
      <c r="M33" s="6">
        <f>-'6. BuildOut Plant Proforma'!D27</f>
        <v>-234187</v>
      </c>
      <c r="N33" s="6"/>
      <c r="O33" s="6"/>
      <c r="P33" s="6">
        <f>IFERROR(VLOOKUP(F33,'9. Retirements'!$B$6:$C$57,2,FALSE),)</f>
        <v>-17388.21</v>
      </c>
      <c r="Q33" s="7">
        <f>SUM(J33:P33)</f>
        <v>5783170.9699999997</v>
      </c>
      <c r="R33" s="6">
        <f>ROUND(Q33*I33,0)</f>
        <v>144579</v>
      </c>
      <c r="S33" s="6"/>
      <c r="U33" s="13"/>
    </row>
    <row r="34" spans="1:30">
      <c r="A34" s="8"/>
      <c r="B34" s="8"/>
      <c r="C34" s="8"/>
      <c r="D34" s="8"/>
      <c r="E34" s="8" t="s">
        <v>871</v>
      </c>
      <c r="F34" s="8" t="str">
        <f>MID(E34,2,3)</f>
        <v>378</v>
      </c>
      <c r="G34" s="8"/>
      <c r="H34" s="8"/>
      <c r="I34" s="8"/>
      <c r="J34" s="292">
        <f t="shared" ref="J34:R34" si="18">SUM(J33:J33)</f>
        <v>5597577.1799999997</v>
      </c>
      <c r="K34" s="292">
        <f t="shared" si="18"/>
        <v>437169</v>
      </c>
      <c r="L34" s="292">
        <f t="shared" si="18"/>
        <v>0</v>
      </c>
      <c r="M34" s="292">
        <f t="shared" si="18"/>
        <v>-234187</v>
      </c>
      <c r="N34" s="292">
        <f t="shared" si="18"/>
        <v>0</v>
      </c>
      <c r="O34" s="292">
        <f t="shared" si="18"/>
        <v>0</v>
      </c>
      <c r="P34" s="292">
        <f t="shared" si="18"/>
        <v>-17388.21</v>
      </c>
      <c r="Q34" s="292">
        <f t="shared" si="18"/>
        <v>5783170.9699999997</v>
      </c>
      <c r="R34" s="292">
        <f t="shared" si="18"/>
        <v>144579</v>
      </c>
      <c r="S34" s="292">
        <f>'3. Depreciation Expense Dtl'!O25</f>
        <v>155641</v>
      </c>
      <c r="T34" s="292">
        <f>R34-S34</f>
        <v>-11062</v>
      </c>
      <c r="U34" s="13" t="s">
        <v>168</v>
      </c>
      <c r="V34" s="669" t="str">
        <f>LEFT(E34,4)</f>
        <v>G378</v>
      </c>
      <c r="W34" s="672">
        <f>'3. Depreciation Expense Dtl'!E25+'3. Depreciation Expense Dtl'!L25</f>
        <v>-3461.84</v>
      </c>
    </row>
    <row r="35" spans="1:30">
      <c r="A35" s="5" t="str">
        <f>MID(F35,3,3)</f>
        <v>379</v>
      </c>
      <c r="C35" s="5" t="str">
        <f>MID(F35,8,5)</f>
        <v>00000</v>
      </c>
      <c r="D35" s="5" t="str">
        <f>CONCATENATE(A35,C35)</f>
        <v>37900000</v>
      </c>
      <c r="E35" s="10" t="s">
        <v>873</v>
      </c>
      <c r="F35" s="5" t="s">
        <v>875</v>
      </c>
      <c r="G35" s="12">
        <f>IFERROR(VLOOKUP($D35,'4. New Depr Rates'!$R$8:$W$69,2,FALSE),0)</f>
        <v>1.8200000000000001E-2</v>
      </c>
      <c r="H35" s="12">
        <f>IFERROR(VLOOKUP($D35,'4. New Depr Rates'!$R$8:$W$69,4,FALSE),0)</f>
        <v>2.8000000000000004E-3</v>
      </c>
      <c r="I35" s="12">
        <f>IFERROR(VLOOKUP($D35,'4. New Depr Rates'!$R$8:$W$69,6,FALSE),0)</f>
        <v>2.1000000000000001E-2</v>
      </c>
      <c r="J35" s="661">
        <f>IFERROR(VLOOKUP($F35,'1. BI Page 204-207'!$F$7:$L$148,7,FALSE),0)</f>
        <v>5835084.3099999996</v>
      </c>
      <c r="K35" s="6">
        <f>IFERROR(VLOOKUP($F35,'2. Post Test Year_Pivot'!$D$3:$E$22,2,FALSE),0)</f>
        <v>47717</v>
      </c>
      <c r="L35" s="6"/>
      <c r="M35" s="6">
        <f>-'6. BuildOut Plant Proforma'!D28</f>
        <v>-252568</v>
      </c>
      <c r="N35" s="6">
        <f>-'7. GoldenValley Pipeline Profor'!D9</f>
        <v>-1078864.9914042002</v>
      </c>
      <c r="O35" s="6"/>
      <c r="P35" s="6">
        <f>IFERROR(VLOOKUP(F35,'9. Retirements'!$B$6:$C$57,2,FALSE),)</f>
        <v>-4664.07</v>
      </c>
      <c r="Q35" s="7">
        <f>SUM(J35:P35)</f>
        <v>4546704.2485957993</v>
      </c>
      <c r="R35" s="6">
        <f>ROUND(Q35*I35,0)</f>
        <v>95481</v>
      </c>
      <c r="S35" s="6"/>
      <c r="U35" s="13"/>
    </row>
    <row r="36" spans="1:30">
      <c r="A36" s="8"/>
      <c r="B36" s="8"/>
      <c r="C36" s="8"/>
      <c r="D36" s="8"/>
      <c r="E36" s="8" t="s">
        <v>874</v>
      </c>
      <c r="F36" s="8" t="str">
        <f>MID(E36,2,3)</f>
        <v>379</v>
      </c>
      <c r="G36" s="8"/>
      <c r="H36" s="8"/>
      <c r="I36" s="8"/>
      <c r="J36" s="292">
        <f t="shared" ref="J36:R36" si="19">SUM(J35:J35)</f>
        <v>5835084.3099999996</v>
      </c>
      <c r="K36" s="292">
        <f t="shared" si="19"/>
        <v>47717</v>
      </c>
      <c r="L36" s="292">
        <f t="shared" si="19"/>
        <v>0</v>
      </c>
      <c r="M36" s="292">
        <f t="shared" si="19"/>
        <v>-252568</v>
      </c>
      <c r="N36" s="292">
        <f t="shared" si="19"/>
        <v>-1078864.9914042002</v>
      </c>
      <c r="O36" s="292">
        <f t="shared" si="19"/>
        <v>0</v>
      </c>
      <c r="P36" s="292">
        <f t="shared" si="19"/>
        <v>-4664.07</v>
      </c>
      <c r="Q36" s="292">
        <f t="shared" si="19"/>
        <v>4546704.2485957993</v>
      </c>
      <c r="R36" s="292">
        <f t="shared" si="19"/>
        <v>95481</v>
      </c>
      <c r="S36" s="292">
        <f>'3. Depreciation Expense Dtl'!O26</f>
        <v>129664</v>
      </c>
      <c r="T36" s="292">
        <f>R36-S36</f>
        <v>-34183</v>
      </c>
      <c r="U36" s="13" t="s">
        <v>169</v>
      </c>
      <c r="V36" s="669" t="str">
        <f>LEFT(E36,4)</f>
        <v>G379</v>
      </c>
      <c r="W36" s="672">
        <f>'3. Depreciation Expense Dtl'!E26+'3. Depreciation Expense Dtl'!L26</f>
        <v>-4267.04</v>
      </c>
    </row>
    <row r="37" spans="1:30">
      <c r="A37" s="5" t="str">
        <f>MID(F37,3,3)</f>
        <v>380</v>
      </c>
      <c r="C37" s="5" t="str">
        <f>MID(F37,8,5)</f>
        <v>00000</v>
      </c>
      <c r="D37" s="5" t="str">
        <f>CONCATENATE(A37,C37)</f>
        <v>38000000</v>
      </c>
      <c r="E37" s="10" t="s">
        <v>876</v>
      </c>
      <c r="F37" s="5" t="s">
        <v>878</v>
      </c>
      <c r="G37" s="12">
        <f>IFERROR(VLOOKUP($D37,'4. New Depr Rates'!$R$8:$W$69,2,FALSE),0)</f>
        <v>1.8500000000000003E-2</v>
      </c>
      <c r="H37" s="12">
        <f>IFERROR(VLOOKUP($D37,'4. New Depr Rates'!$R$8:$W$69,4,FALSE),0)</f>
        <v>4.4999999999999971E-3</v>
      </c>
      <c r="I37" s="12">
        <f>IFERROR(VLOOKUP($D37,'4. New Depr Rates'!$R$8:$W$69,6,FALSE),0)</f>
        <v>2.3E-2</v>
      </c>
      <c r="J37" s="661">
        <f>IFERROR(VLOOKUP($F37,'1. BI Page 204-207'!$F$7:$L$148,7,FALSE),0)</f>
        <v>195904804.56</v>
      </c>
      <c r="K37" s="6">
        <f>IFERROR(VLOOKUP($F37,'2. Post Test Year_Pivot'!$D$3:$E$22,2,FALSE),0)</f>
        <v>1025324</v>
      </c>
      <c r="L37" s="6">
        <f>-'5. Fortis Merger Proforma'!B15</f>
        <v>-43555</v>
      </c>
      <c r="M37" s="6"/>
      <c r="N37" s="6"/>
      <c r="O37" s="6"/>
      <c r="P37" s="6">
        <f>IFERROR(VLOOKUP(F37,'9. Retirements'!$B$6:$C$57,2,FALSE),)</f>
        <v>-481842.03</v>
      </c>
      <c r="Q37" s="7">
        <f>SUM(J37:P37)</f>
        <v>196404731.53</v>
      </c>
      <c r="R37" s="6">
        <f>ROUND(Q37*I37,0)</f>
        <v>4517309</v>
      </c>
      <c r="S37" s="6"/>
      <c r="U37" s="13"/>
    </row>
    <row r="38" spans="1:30">
      <c r="A38" s="8"/>
      <c r="B38" s="8"/>
      <c r="C38" s="8"/>
      <c r="D38" s="8"/>
      <c r="E38" s="8" t="s">
        <v>877</v>
      </c>
      <c r="F38" s="8" t="str">
        <f>MID(E38,2,3)</f>
        <v>380</v>
      </c>
      <c r="G38" s="8"/>
      <c r="H38" s="8"/>
      <c r="I38" s="8"/>
      <c r="J38" s="292">
        <f t="shared" ref="J38:R38" si="20">SUM(J37:J37)</f>
        <v>195904804.56</v>
      </c>
      <c r="K38" s="292">
        <f t="shared" si="20"/>
        <v>1025324</v>
      </c>
      <c r="L38" s="292">
        <f t="shared" si="20"/>
        <v>-43555</v>
      </c>
      <c r="M38" s="292">
        <f t="shared" si="20"/>
        <v>0</v>
      </c>
      <c r="N38" s="292">
        <f t="shared" si="20"/>
        <v>0</v>
      </c>
      <c r="O38" s="292">
        <f t="shared" si="20"/>
        <v>0</v>
      </c>
      <c r="P38" s="292">
        <f t="shared" si="20"/>
        <v>-481842.03</v>
      </c>
      <c r="Q38" s="292">
        <f t="shared" si="20"/>
        <v>196404731.53</v>
      </c>
      <c r="R38" s="292">
        <f t="shared" si="20"/>
        <v>4517309</v>
      </c>
      <c r="S38" s="292">
        <f>'3. Depreciation Expense Dtl'!O27</f>
        <v>4950271</v>
      </c>
      <c r="T38" s="292">
        <f>R38-S38</f>
        <v>-432962</v>
      </c>
      <c r="U38" s="13" t="s">
        <v>170</v>
      </c>
      <c r="V38" s="669" t="str">
        <f>LEFT(E38,4)</f>
        <v>G380</v>
      </c>
      <c r="W38" s="672">
        <f>'3. Depreciation Expense Dtl'!E27+'3. Depreciation Expense Dtl'!L27</f>
        <v>-141870.48000000001</v>
      </c>
      <c r="X38" s="672">
        <f>(K38+L38)*I37</f>
        <v>22580.686999999998</v>
      </c>
      <c r="Y38" s="672">
        <f>J38*Z38</f>
        <v>-1077476.42508</v>
      </c>
      <c r="Z38" s="674">
        <v>-5.4999999999999997E-3</v>
      </c>
      <c r="AA38" s="672">
        <f>Y38+X38-W38</f>
        <v>-913025.25808000006</v>
      </c>
      <c r="AB38" s="672">
        <v>337838</v>
      </c>
      <c r="AC38" s="262">
        <f>AA38+AB38</f>
        <v>-575187.25808000006</v>
      </c>
      <c r="AD38" s="672" t="s">
        <v>1380</v>
      </c>
    </row>
    <row r="39" spans="1:30">
      <c r="A39" s="5" t="str">
        <f>MID(F39,3,3)</f>
        <v>381</v>
      </c>
      <c r="C39" s="5" t="str">
        <f>MID(F39,8,5)</f>
        <v>00000</v>
      </c>
      <c r="D39" s="5" t="str">
        <f>CONCATENATE(A39,C39)</f>
        <v>38100000</v>
      </c>
      <c r="E39" s="10" t="s">
        <v>879</v>
      </c>
      <c r="F39" s="5" t="s">
        <v>882</v>
      </c>
      <c r="G39" s="12">
        <f>IFERROR(VLOOKUP($D39,'4. New Depr Rates'!$R$8:$W$69,2,FALSE),0)</f>
        <v>3.3799999999999997E-2</v>
      </c>
      <c r="H39" s="12">
        <f>IFERROR(VLOOKUP($D39,'4. New Depr Rates'!$R$8:$W$69,4,FALSE),0)</f>
        <v>1.6000000000000014E-3</v>
      </c>
      <c r="I39" s="12">
        <f>IFERROR(VLOOKUP($D39,'4. New Depr Rates'!$R$8:$W$69,6,FALSE),0)</f>
        <v>3.5400000000000001E-2</v>
      </c>
      <c r="J39" s="661">
        <f>IFERROR(VLOOKUP($F39,'1. BI Page 204-207'!$F$7:$L$148,7,FALSE),0)</f>
        <v>44176951.909999996</v>
      </c>
      <c r="K39" s="6">
        <f>IFERROR(VLOOKUP($F39,'2. Post Test Year_Pivot'!$D$3:$E$22,2,FALSE),0)</f>
        <v>1567524</v>
      </c>
      <c r="L39" s="6"/>
      <c r="M39" s="6"/>
      <c r="N39" s="6"/>
      <c r="O39" s="6"/>
      <c r="P39" s="6">
        <f>IFERROR(VLOOKUP(F39,'9. Retirements'!$B$6:$C$57,2,FALSE),)</f>
        <v>-433386.30000000005</v>
      </c>
      <c r="Q39" s="7">
        <f>SUM(J39:P39)</f>
        <v>45311089.609999999</v>
      </c>
      <c r="R39" s="6">
        <f>ROUND(Q39*I39,0)</f>
        <v>1604013</v>
      </c>
      <c r="S39" s="6"/>
      <c r="U39" s="13"/>
    </row>
    <row r="40" spans="1:30">
      <c r="A40" s="8"/>
      <c r="B40" s="8"/>
      <c r="C40" s="8"/>
      <c r="D40" s="8"/>
      <c r="E40" s="8" t="s">
        <v>881</v>
      </c>
      <c r="F40" s="8" t="str">
        <f>MID(E40,2,3)</f>
        <v>381</v>
      </c>
      <c r="G40" s="8"/>
      <c r="H40" s="8"/>
      <c r="I40" s="8"/>
      <c r="J40" s="292">
        <f t="shared" ref="J40:R40" si="21">SUM(J39:J39)</f>
        <v>44176951.909999996</v>
      </c>
      <c r="K40" s="292">
        <f t="shared" si="21"/>
        <v>1567524</v>
      </c>
      <c r="L40" s="292">
        <f t="shared" si="21"/>
        <v>0</v>
      </c>
      <c r="M40" s="292">
        <f t="shared" si="21"/>
        <v>0</v>
      </c>
      <c r="N40" s="292">
        <f t="shared" si="21"/>
        <v>0</v>
      </c>
      <c r="O40" s="292">
        <f t="shared" si="21"/>
        <v>0</v>
      </c>
      <c r="P40" s="292">
        <f t="shared" si="21"/>
        <v>-433386.30000000005</v>
      </c>
      <c r="Q40" s="292">
        <f t="shared" si="21"/>
        <v>45311089.609999999</v>
      </c>
      <c r="R40" s="292">
        <f t="shared" si="21"/>
        <v>1604013</v>
      </c>
      <c r="S40" s="292">
        <f>'3. Depreciation Expense Dtl'!O28</f>
        <v>1175434</v>
      </c>
      <c r="T40" s="292">
        <f>R40-S40</f>
        <v>428579</v>
      </c>
      <c r="U40" s="13" t="s">
        <v>171</v>
      </c>
      <c r="V40" s="669" t="str">
        <f>LEFT(E40,4)</f>
        <v>G381</v>
      </c>
      <c r="W40" s="672">
        <f>'3. Depreciation Expense Dtl'!E28+'3. Depreciation Expense Dtl'!L28</f>
        <v>-27362</v>
      </c>
      <c r="X40" s="672">
        <f>K40*I39</f>
        <v>55490.349600000001</v>
      </c>
      <c r="Y40" s="672">
        <f>J40*Z40</f>
        <v>521288.03253799997</v>
      </c>
      <c r="Z40" s="674">
        <v>1.18E-2</v>
      </c>
      <c r="AA40" s="672">
        <f>Y40+X40-W40</f>
        <v>604140.38213799999</v>
      </c>
      <c r="AB40" s="672">
        <v>-172839</v>
      </c>
      <c r="AC40" s="262">
        <f>AA40+AB40</f>
        <v>431301.38213799999</v>
      </c>
      <c r="AD40" s="672" t="s">
        <v>1380</v>
      </c>
    </row>
    <row r="41" spans="1:30">
      <c r="A41" s="5" t="str">
        <f>MID(F41,3,3)</f>
        <v>382</v>
      </c>
      <c r="C41" s="5" t="str">
        <f>MID(F41,8,5)</f>
        <v>00000</v>
      </c>
      <c r="D41" s="5" t="str">
        <f>CONCATENATE(A41,C41)</f>
        <v>38200000</v>
      </c>
      <c r="E41" s="10" t="s">
        <v>884</v>
      </c>
      <c r="F41" s="5" t="s">
        <v>883</v>
      </c>
      <c r="G41" s="12">
        <f>IFERROR(VLOOKUP($D41,'4. New Depr Rates'!$R$8:$W$69,2,FALSE),0)</f>
        <v>3.3799999999999997E-2</v>
      </c>
      <c r="H41" s="12">
        <f>IFERROR(VLOOKUP($D41,'4. New Depr Rates'!$R$8:$W$69,4,FALSE),0)</f>
        <v>1.6000000000000014E-3</v>
      </c>
      <c r="I41" s="12">
        <f>IFERROR(VLOOKUP($D41,'4. New Depr Rates'!$R$8:$W$69,6,FALSE),0)</f>
        <v>3.5400000000000001E-2</v>
      </c>
      <c r="J41" s="661">
        <f>IFERROR(VLOOKUP($F41,'1. BI Page 204-207'!$F$7:$L$148,7,FALSE),0)</f>
        <v>16008359.15</v>
      </c>
      <c r="K41" s="6">
        <f>IFERROR(VLOOKUP($F41,'2. Post Test Year_Pivot'!$D$3:$E$22,2,FALSE),0)</f>
        <v>432412</v>
      </c>
      <c r="L41" s="6"/>
      <c r="M41" s="6"/>
      <c r="N41" s="6"/>
      <c r="O41" s="6"/>
      <c r="P41" s="6">
        <f>IFERROR(VLOOKUP(F41,'9. Retirements'!$B$6:$C$57,2,FALSE),)</f>
        <v>-128666.98</v>
      </c>
      <c r="Q41" s="7">
        <f>SUM(J41:P41)</f>
        <v>16312104.17</v>
      </c>
      <c r="R41" s="6">
        <f>ROUND(Q41*I41,0)</f>
        <v>577448</v>
      </c>
      <c r="S41" s="6"/>
      <c r="U41" s="13"/>
    </row>
    <row r="42" spans="1:30">
      <c r="A42" s="8"/>
      <c r="B42" s="8"/>
      <c r="C42" s="8"/>
      <c r="D42" s="8"/>
      <c r="E42" s="8" t="s">
        <v>885</v>
      </c>
      <c r="F42" s="8" t="str">
        <f>MID(E42,2,3)</f>
        <v>382</v>
      </c>
      <c r="G42" s="8"/>
      <c r="H42" s="8"/>
      <c r="I42" s="8"/>
      <c r="J42" s="292">
        <f t="shared" ref="J42:R42" si="22">SUM(J41:J41)</f>
        <v>16008359.15</v>
      </c>
      <c r="K42" s="292">
        <f t="shared" si="22"/>
        <v>432412</v>
      </c>
      <c r="L42" s="292">
        <f t="shared" si="22"/>
        <v>0</v>
      </c>
      <c r="M42" s="292">
        <f t="shared" si="22"/>
        <v>0</v>
      </c>
      <c r="N42" s="292">
        <f t="shared" si="22"/>
        <v>0</v>
      </c>
      <c r="O42" s="292">
        <f t="shared" si="22"/>
        <v>0</v>
      </c>
      <c r="P42" s="292">
        <f t="shared" si="22"/>
        <v>-128666.98</v>
      </c>
      <c r="Q42" s="292">
        <f t="shared" si="22"/>
        <v>16312104.17</v>
      </c>
      <c r="R42" s="292">
        <f t="shared" si="22"/>
        <v>577448</v>
      </c>
      <c r="S42" s="292">
        <f>'3. Depreciation Expense Dtl'!O29</f>
        <v>408011</v>
      </c>
      <c r="T42" s="292">
        <f>R42-S42</f>
        <v>169437</v>
      </c>
      <c r="U42" s="13" t="s">
        <v>172</v>
      </c>
      <c r="V42" s="669" t="str">
        <f>LEFT(E42,4)</f>
        <v>G382</v>
      </c>
      <c r="W42" s="672">
        <f>'3. Depreciation Expense Dtl'!E29+'3. Depreciation Expense Dtl'!L29</f>
        <v>-26000.560000000001</v>
      </c>
      <c r="X42" s="672">
        <f>K42*I41</f>
        <v>15307.3848</v>
      </c>
      <c r="Y42" s="672">
        <f>J42*Z42</f>
        <v>188898.63797000001</v>
      </c>
      <c r="Z42" s="674">
        <v>1.18E-2</v>
      </c>
      <c r="AA42" s="672">
        <f>Y42+X42-W42</f>
        <v>230206.58277000001</v>
      </c>
      <c r="AB42" s="672">
        <v>-63340</v>
      </c>
      <c r="AC42" s="262">
        <f>AA42+AB42</f>
        <v>166866.58277000001</v>
      </c>
      <c r="AD42" s="672" t="s">
        <v>1380</v>
      </c>
    </row>
    <row r="43" spans="1:30">
      <c r="A43" s="5" t="str">
        <f>MID(F43,3,3)</f>
        <v>383</v>
      </c>
      <c r="C43" s="5" t="str">
        <f>MID(F43,8,5)</f>
        <v>00000</v>
      </c>
      <c r="D43" s="5" t="str">
        <f>CONCATENATE(A43,C43)</f>
        <v>38300000</v>
      </c>
      <c r="E43" s="10" t="s">
        <v>887</v>
      </c>
      <c r="F43" s="5" t="s">
        <v>886</v>
      </c>
      <c r="G43" s="12">
        <f>IFERROR(VLOOKUP($D43,'4. New Depr Rates'!$R$8:$W$69,2,FALSE),0)</f>
        <v>2.23E-2</v>
      </c>
      <c r="H43" s="12">
        <f>IFERROR(VLOOKUP($D43,'4. New Depr Rates'!$R$8:$W$69,4,FALSE),0)</f>
        <v>0</v>
      </c>
      <c r="I43" s="12">
        <f>IFERROR(VLOOKUP($D43,'4. New Depr Rates'!$R$8:$W$69,6,FALSE),0)</f>
        <v>2.23E-2</v>
      </c>
      <c r="J43" s="661">
        <f>IFERROR(VLOOKUP($F43,'1. BI Page 204-207'!$F$7:$L$148,7,FALSE),0)</f>
        <v>5446293.4100000001</v>
      </c>
      <c r="K43" s="6">
        <f>IFERROR(VLOOKUP($F43,'2. Post Test Year_Pivot'!$D$3:$E$22,2,FALSE),0)</f>
        <v>97678</v>
      </c>
      <c r="L43" s="6"/>
      <c r="M43" s="6"/>
      <c r="N43" s="6"/>
      <c r="O43" s="6"/>
      <c r="P43" s="6">
        <f>IFERROR(VLOOKUP(F43,'9. Retirements'!$B$6:$C$57,2,FALSE),)</f>
        <v>0</v>
      </c>
      <c r="Q43" s="7">
        <f>SUM(J43:P43)</f>
        <v>5543971.4100000001</v>
      </c>
      <c r="R43" s="6">
        <f>ROUND(Q43*I43,0)</f>
        <v>123631</v>
      </c>
      <c r="S43" s="6"/>
      <c r="U43" s="13"/>
    </row>
    <row r="44" spans="1:30">
      <c r="A44" s="8"/>
      <c r="B44" s="8"/>
      <c r="C44" s="8"/>
      <c r="D44" s="8"/>
      <c r="E44" s="8" t="s">
        <v>888</v>
      </c>
      <c r="F44" s="8" t="str">
        <f>MID(E44,2,3)</f>
        <v>383</v>
      </c>
      <c r="G44" s="8"/>
      <c r="H44" s="8"/>
      <c r="I44" s="8"/>
      <c r="J44" s="292">
        <f t="shared" ref="J44:R44" si="23">SUM(J43:J43)</f>
        <v>5446293.4100000001</v>
      </c>
      <c r="K44" s="292">
        <f t="shared" si="23"/>
        <v>97678</v>
      </c>
      <c r="L44" s="292">
        <f t="shared" si="23"/>
        <v>0</v>
      </c>
      <c r="M44" s="292">
        <f t="shared" si="23"/>
        <v>0</v>
      </c>
      <c r="N44" s="292">
        <f t="shared" si="23"/>
        <v>0</v>
      </c>
      <c r="O44" s="292">
        <f t="shared" si="23"/>
        <v>0</v>
      </c>
      <c r="P44" s="292">
        <f t="shared" si="23"/>
        <v>0</v>
      </c>
      <c r="Q44" s="292">
        <f t="shared" si="23"/>
        <v>5543971.4100000001</v>
      </c>
      <c r="R44" s="292">
        <f t="shared" si="23"/>
        <v>123631</v>
      </c>
      <c r="S44" s="292">
        <f>'3. Depreciation Expense Dtl'!O30</f>
        <v>122793</v>
      </c>
      <c r="T44" s="292">
        <f>R44-S44</f>
        <v>838</v>
      </c>
      <c r="U44" s="440" t="s">
        <v>417</v>
      </c>
      <c r="V44" s="669" t="str">
        <f>LEFT(E44,4)</f>
        <v>G383</v>
      </c>
      <c r="W44" s="672">
        <f>'3. Depreciation Expense Dtl'!E30+'3. Depreciation Expense Dtl'!L30</f>
        <v>-8734.08</v>
      </c>
    </row>
    <row r="45" spans="1:30">
      <c r="A45" s="5" t="str">
        <f>MID(F45,3,3)</f>
        <v>384</v>
      </c>
      <c r="C45" s="5" t="str">
        <f>MID(F45,8,5)</f>
        <v>00000</v>
      </c>
      <c r="D45" s="5" t="str">
        <f>CONCATENATE(A45,C45)</f>
        <v>38400000</v>
      </c>
      <c r="E45" s="10" t="s">
        <v>889</v>
      </c>
      <c r="F45" s="5" t="s">
        <v>890</v>
      </c>
      <c r="G45" s="12">
        <f>IFERROR(VLOOKUP($D45,'4. New Depr Rates'!$R$8:$W$69,2,FALSE),0)</f>
        <v>2.52E-2</v>
      </c>
      <c r="H45" s="12">
        <f>IFERROR(VLOOKUP($D45,'4. New Depr Rates'!$R$8:$W$69,4,FALSE),0)</f>
        <v>0</v>
      </c>
      <c r="I45" s="12">
        <f>IFERROR(VLOOKUP($D45,'4. New Depr Rates'!$R$8:$W$69,6,FALSE),0)</f>
        <v>2.52E-2</v>
      </c>
      <c r="J45" s="661">
        <f>IFERROR(VLOOKUP($F45,'1. BI Page 204-207'!$F$7:$L$148,7,FALSE),0)</f>
        <v>4760342.2</v>
      </c>
      <c r="K45" s="6">
        <f>IFERROR(VLOOKUP($F45,'2. Post Test Year_Pivot'!$D$3:$E$22,2,FALSE),0)</f>
        <v>100120</v>
      </c>
      <c r="L45" s="6"/>
      <c r="M45" s="6"/>
      <c r="N45" s="6"/>
      <c r="O45" s="6"/>
      <c r="P45" s="6">
        <f>IFERROR(VLOOKUP(F45,'9. Retirements'!$B$6:$C$57,2,FALSE),)</f>
        <v>0</v>
      </c>
      <c r="Q45" s="7">
        <f>SUM(J45:P45)</f>
        <v>4860462.2</v>
      </c>
      <c r="R45" s="6">
        <f>ROUND(Q45*I45,0)</f>
        <v>122484</v>
      </c>
      <c r="S45" s="6"/>
      <c r="U45" s="13"/>
    </row>
    <row r="46" spans="1:30">
      <c r="A46" s="8"/>
      <c r="B46" s="8"/>
      <c r="C46" s="8"/>
      <c r="D46" s="8"/>
      <c r="E46" s="8" t="s">
        <v>891</v>
      </c>
      <c r="F46" s="8" t="str">
        <f>MID(E46,2,3)</f>
        <v>384</v>
      </c>
      <c r="G46" s="8"/>
      <c r="H46" s="8"/>
      <c r="I46" s="8"/>
      <c r="J46" s="292">
        <f>SUM(J45:J45)</f>
        <v>4760342.2</v>
      </c>
      <c r="K46" s="292">
        <f t="shared" ref="K46:R46" si="24">SUM(K45:K45)</f>
        <v>100120</v>
      </c>
      <c r="L46" s="292">
        <f t="shared" si="24"/>
        <v>0</v>
      </c>
      <c r="M46" s="292">
        <f t="shared" si="24"/>
        <v>0</v>
      </c>
      <c r="N46" s="292">
        <f t="shared" si="24"/>
        <v>0</v>
      </c>
      <c r="O46" s="292">
        <f t="shared" si="24"/>
        <v>0</v>
      </c>
      <c r="P46" s="292">
        <f t="shared" si="24"/>
        <v>0</v>
      </c>
      <c r="Q46" s="292">
        <f t="shared" si="24"/>
        <v>4860462.2</v>
      </c>
      <c r="R46" s="292">
        <f t="shared" si="24"/>
        <v>122484</v>
      </c>
      <c r="S46" s="292">
        <f>'3. Depreciation Expense Dtl'!O31</f>
        <v>120873</v>
      </c>
      <c r="T46" s="292">
        <f>R46-S46</f>
        <v>1611</v>
      </c>
      <c r="U46" s="14" t="s">
        <v>418</v>
      </c>
      <c r="V46" s="669" t="str">
        <f>LEFT(E46,4)</f>
        <v>G384</v>
      </c>
      <c r="W46" s="672">
        <f>'3. Depreciation Expense Dtl'!E31+'3. Depreciation Expense Dtl'!L31</f>
        <v>-3370.8799999999997</v>
      </c>
    </row>
    <row r="47" spans="1:30">
      <c r="A47" s="5" t="str">
        <f>MID(F47,3,3)</f>
        <v>385</v>
      </c>
      <c r="C47" s="5" t="str">
        <f>MID(F47,8,5)</f>
        <v>00000</v>
      </c>
      <c r="D47" s="5" t="str">
        <f>CONCATENATE(A47,C47)</f>
        <v>38500000</v>
      </c>
      <c r="E47" s="10" t="s">
        <v>880</v>
      </c>
      <c r="F47" s="5" t="s">
        <v>892</v>
      </c>
      <c r="G47" s="12">
        <f>IFERROR(VLOOKUP($D47,'4. New Depr Rates'!$R$8:$W$69,2,FALSE),0)</f>
        <v>2.1600000000000001E-2</v>
      </c>
      <c r="H47" s="12">
        <f>IFERROR(VLOOKUP($D47,'4. New Depr Rates'!$R$8:$W$69,4,FALSE),0)</f>
        <v>9.9999999999999655E-4</v>
      </c>
      <c r="I47" s="12">
        <f>IFERROR(VLOOKUP($D47,'4. New Depr Rates'!$R$8:$W$69,6,FALSE),0)</f>
        <v>2.2599999999999999E-2</v>
      </c>
      <c r="J47" s="661">
        <f>IFERROR(VLOOKUP($F47,'1. BI Page 204-207'!$F$7:$L$148,7,FALSE),0)</f>
        <v>2536543.41</v>
      </c>
      <c r="K47" s="6">
        <f>IFERROR(VLOOKUP($F47,'2. Post Test Year_Pivot'!$D$3:$E$22,2,FALSE),0)</f>
        <v>127183</v>
      </c>
      <c r="L47" s="6"/>
      <c r="M47" s="6"/>
      <c r="N47" s="6"/>
      <c r="O47" s="6"/>
      <c r="P47" s="6">
        <f>IFERROR(VLOOKUP(F47,'9. Retirements'!$B$6:$C$57,2,FALSE),)</f>
        <v>-73685.070000000007</v>
      </c>
      <c r="Q47" s="7">
        <f>SUM(J47:P47)</f>
        <v>2590041.3400000003</v>
      </c>
      <c r="R47" s="6">
        <f t="shared" ref="R47:R48" si="25">ROUND(Q47*I47,0)</f>
        <v>58535</v>
      </c>
      <c r="S47" s="6"/>
      <c r="U47" s="13"/>
    </row>
    <row r="48" spans="1:30">
      <c r="A48" s="5" t="str">
        <f>MID(F48,3,3)</f>
        <v>385</v>
      </c>
      <c r="C48" s="5" t="str">
        <f>MID(F48,8,5)</f>
        <v>GRFTH</v>
      </c>
      <c r="D48" s="5" t="str">
        <f>CONCATENATE(A48,C48)</f>
        <v>385GRFTH</v>
      </c>
      <c r="E48" s="10"/>
      <c r="F48" s="5" t="s">
        <v>893</v>
      </c>
      <c r="G48" s="12">
        <f>IFERROR(VLOOKUP($D48,'4. New Depr Rates'!$R$8:$W$69,2,FALSE),0)</f>
        <v>2.1600000000000001E-2</v>
      </c>
      <c r="H48" s="12">
        <f>IFERROR(VLOOKUP($D48,'4. New Depr Rates'!$R$8:$W$69,4,FALSE),0)</f>
        <v>1E-3</v>
      </c>
      <c r="I48" s="12">
        <f>IFERROR(VLOOKUP($D48,'4. New Depr Rates'!$R$8:$W$69,6,FALSE),0)</f>
        <v>2.2600000000000002E-2</v>
      </c>
      <c r="J48" s="661">
        <f>IFERROR(VLOOKUP($F48,'1. BI Page 204-207'!$F$7:$L$148,7,FALSE),0)</f>
        <v>12609.37</v>
      </c>
      <c r="K48" s="6">
        <f>IFERROR(VLOOKUP($F48,'2. Post Test Year_Pivot'!$D$3:$E$22,2,FALSE),0)</f>
        <v>0</v>
      </c>
      <c r="L48" s="6"/>
      <c r="M48" s="6"/>
      <c r="N48" s="6"/>
      <c r="O48" s="6">
        <f>-'8. Griffith Plant Proforma'!D9</f>
        <v>-12609.37</v>
      </c>
      <c r="P48" s="6">
        <f>IFERROR(VLOOKUP(F48,'9. Retirements'!$B$6:$C$57,2,FALSE),)</f>
        <v>0</v>
      </c>
      <c r="Q48" s="7">
        <f>SUM(J48:P48)</f>
        <v>0</v>
      </c>
      <c r="R48" s="6">
        <f t="shared" si="25"/>
        <v>0</v>
      </c>
      <c r="S48" s="6"/>
      <c r="U48" s="13"/>
    </row>
    <row r="49" spans="1:23">
      <c r="A49" s="8"/>
      <c r="B49" s="8"/>
      <c r="C49" s="8"/>
      <c r="D49" s="8"/>
      <c r="E49" s="8" t="s">
        <v>894</v>
      </c>
      <c r="F49" s="8" t="str">
        <f>MID(E49,2,3)</f>
        <v>385</v>
      </c>
      <c r="G49" s="8"/>
      <c r="H49" s="8"/>
      <c r="I49" s="8"/>
      <c r="J49" s="292">
        <f t="shared" ref="J49:R49" si="26">SUM(J47:J48)</f>
        <v>2549152.7800000003</v>
      </c>
      <c r="K49" s="292">
        <f t="shared" si="26"/>
        <v>127183</v>
      </c>
      <c r="L49" s="292">
        <f t="shared" si="26"/>
        <v>0</v>
      </c>
      <c r="M49" s="292">
        <f t="shared" si="26"/>
        <v>0</v>
      </c>
      <c r="N49" s="292">
        <f t="shared" si="26"/>
        <v>0</v>
      </c>
      <c r="O49" s="292">
        <f t="shared" si="26"/>
        <v>-12609.37</v>
      </c>
      <c r="P49" s="292">
        <f t="shared" si="26"/>
        <v>-73685.070000000007</v>
      </c>
      <c r="Q49" s="292">
        <f t="shared" si="26"/>
        <v>2590041.3400000003</v>
      </c>
      <c r="R49" s="292">
        <f t="shared" si="26"/>
        <v>58535</v>
      </c>
      <c r="S49" s="292">
        <f>'3. Depreciation Expense Dtl'!O32</f>
        <v>68489</v>
      </c>
      <c r="T49" s="292">
        <f>R49-S49</f>
        <v>-9954</v>
      </c>
      <c r="U49" s="13" t="s">
        <v>419</v>
      </c>
      <c r="V49" s="669" t="str">
        <f>LEFT(E49,4)</f>
        <v>G385</v>
      </c>
      <c r="W49" s="672">
        <f>'3. Depreciation Expense Dtl'!E32+'3. Depreciation Expense Dtl'!L32</f>
        <v>496.64000000000004</v>
      </c>
    </row>
    <row r="50" spans="1:23">
      <c r="A50" s="5" t="str">
        <f>MID(F50,3,3)</f>
        <v>387</v>
      </c>
      <c r="C50" s="5" t="str">
        <f>MID(F50,8,5)</f>
        <v>00000</v>
      </c>
      <c r="D50" s="5" t="str">
        <f>CONCATENATE(A50,C50)</f>
        <v>38700000</v>
      </c>
      <c r="E50" s="10" t="s">
        <v>895</v>
      </c>
      <c r="F50" s="24" t="s">
        <v>896</v>
      </c>
      <c r="G50" s="12">
        <f>IFERROR(VLOOKUP($D50,'4. New Depr Rates'!$R$8:$W$69,2,FALSE),0)</f>
        <v>1.89E-2</v>
      </c>
      <c r="H50" s="12">
        <f>IFERROR(VLOOKUP($D50,'4. New Depr Rates'!$R$8:$W$69,4,FALSE),0)</f>
        <v>4.0000000000000034E-4</v>
      </c>
      <c r="I50" s="12">
        <f>IFERROR(VLOOKUP($D50,'4. New Depr Rates'!$R$8:$W$69,6,FALSE),0)</f>
        <v>1.9300000000000001E-2</v>
      </c>
      <c r="J50" s="661">
        <f>IFERROR(VLOOKUP($F50,'1. BI Page 204-207'!$F$7:$L$148,7,FALSE),0)</f>
        <v>2148124.7599999998</v>
      </c>
      <c r="K50" s="6">
        <f>IFERROR(VLOOKUP($F50,'2. Post Test Year_Pivot'!$D$3:$E$22,2,FALSE),0)</f>
        <v>163320</v>
      </c>
      <c r="L50" s="6"/>
      <c r="M50" s="6">
        <f>-'6. BuildOut Plant Proforma'!D29</f>
        <v>-100809</v>
      </c>
      <c r="N50" s="6"/>
      <c r="O50" s="6"/>
      <c r="P50" s="6">
        <f>IFERROR(VLOOKUP(F50,'9. Retirements'!$B$6:$C$57,2,FALSE),)</f>
        <v>0</v>
      </c>
      <c r="Q50" s="7">
        <f>SUM(J50:P50)</f>
        <v>2210635.7599999998</v>
      </c>
      <c r="R50" s="6">
        <f>ROUND(Q50*I50,0)</f>
        <v>42665</v>
      </c>
      <c r="S50" s="6"/>
    </row>
    <row r="51" spans="1:23">
      <c r="A51" s="8"/>
      <c r="B51" s="8"/>
      <c r="C51" s="8"/>
      <c r="D51" s="8"/>
      <c r="E51" s="8" t="s">
        <v>897</v>
      </c>
      <c r="F51" s="8" t="str">
        <f>MID(E51,2,3)</f>
        <v>387</v>
      </c>
      <c r="G51" s="8"/>
      <c r="H51" s="8"/>
      <c r="I51" s="8"/>
      <c r="J51" s="292">
        <f t="shared" ref="J51" si="27">SUM(J50:J50)</f>
        <v>2148124.7599999998</v>
      </c>
      <c r="K51" s="292">
        <f t="shared" ref="K51:R51" si="28">SUM(K50:K50)</f>
        <v>163320</v>
      </c>
      <c r="L51" s="292">
        <f t="shared" si="28"/>
        <v>0</v>
      </c>
      <c r="M51" s="292">
        <f t="shared" si="28"/>
        <v>-100809</v>
      </c>
      <c r="N51" s="292">
        <f t="shared" si="28"/>
        <v>0</v>
      </c>
      <c r="O51" s="292">
        <f t="shared" si="28"/>
        <v>0</v>
      </c>
      <c r="P51" s="292">
        <f t="shared" si="28"/>
        <v>0</v>
      </c>
      <c r="Q51" s="292">
        <f t="shared" si="28"/>
        <v>2210635.7599999998</v>
      </c>
      <c r="R51" s="292">
        <f t="shared" si="28"/>
        <v>42665</v>
      </c>
      <c r="S51" s="292">
        <f>'3. Depreciation Expense Dtl'!O33</f>
        <v>54611</v>
      </c>
      <c r="T51" s="292">
        <f>R51-S51</f>
        <v>-11946</v>
      </c>
      <c r="U51" s="13" t="s">
        <v>1217</v>
      </c>
      <c r="V51" s="669" t="str">
        <f>LEFT(E51,4)</f>
        <v>G387</v>
      </c>
      <c r="W51" s="672">
        <f>'3. Depreciation Expense Dtl'!E33+'3. Depreciation Expense Dtl'!L33</f>
        <v>-2457.3599999999997</v>
      </c>
    </row>
    <row r="52" spans="1:23">
      <c r="A52" s="8"/>
      <c r="B52" s="8"/>
      <c r="C52" s="8"/>
      <c r="D52" s="8"/>
      <c r="E52" s="8" t="s">
        <v>141</v>
      </c>
      <c r="F52" s="8"/>
      <c r="G52" s="8"/>
      <c r="H52" s="8"/>
      <c r="I52" s="8"/>
      <c r="J52" s="292">
        <f t="shared" ref="J52:S52" si="29">SUM(J28,J30,J32,J34,J36,J38,J40,J42,J44,J46,J49,J51)</f>
        <v>544521138.17999995</v>
      </c>
      <c r="K52" s="292">
        <f t="shared" ref="K52:R52" si="30">SUM(K28,K30,K32,K34,K36,K38,K40,K42,K44,K46,K49,K51)</f>
        <v>7043841</v>
      </c>
      <c r="L52" s="292">
        <f t="shared" si="30"/>
        <v>-43555</v>
      </c>
      <c r="M52" s="292">
        <f t="shared" si="30"/>
        <v>-11736377</v>
      </c>
      <c r="N52" s="292">
        <f t="shared" si="30"/>
        <v>-4406109.1145487009</v>
      </c>
      <c r="O52" s="292">
        <f t="shared" si="30"/>
        <v>-12609.37</v>
      </c>
      <c r="P52" s="292">
        <f t="shared" si="30"/>
        <v>-2021684.9300000002</v>
      </c>
      <c r="Q52" s="292">
        <f t="shared" si="30"/>
        <v>533344643.76545131</v>
      </c>
      <c r="R52" s="292">
        <f t="shared" si="30"/>
        <v>12577948</v>
      </c>
      <c r="S52" s="292">
        <f t="shared" si="29"/>
        <v>12302011</v>
      </c>
      <c r="T52" s="292">
        <f t="shared" ref="T52:T59" si="31">R52-S52</f>
        <v>275937</v>
      </c>
      <c r="U52" s="13"/>
    </row>
    <row r="53" spans="1:23">
      <c r="A53" s="5" t="str">
        <f t="shared" ref="A53:A59" si="32">MID(F53,3,3)</f>
        <v>389</v>
      </c>
      <c r="C53" s="5" t="str">
        <f t="shared" ref="C53:C59" si="33">MID(F53,8,5)</f>
        <v>00000</v>
      </c>
      <c r="D53" s="5" t="str">
        <f t="shared" ref="D53:D59" si="34">CONCATENATE(A53,C53)</f>
        <v>38900000</v>
      </c>
      <c r="E53" s="10" t="s">
        <v>898</v>
      </c>
      <c r="F53" s="5" t="s">
        <v>901</v>
      </c>
      <c r="G53" s="12">
        <f>IFERROR(VLOOKUP(D53,#REF!,2,FALSE),0)</f>
        <v>0</v>
      </c>
      <c r="H53" s="12">
        <f>IFERROR(VLOOKUP(D53,#REF!,3,FALSE),0)</f>
        <v>0</v>
      </c>
      <c r="I53" s="12">
        <f t="shared" ref="I53:I59" si="35">G53+H53</f>
        <v>0</v>
      </c>
      <c r="J53" s="661">
        <f>IFERROR(VLOOKUP($F53,'1. BI Page 204-207'!$F$7:$L$148,7,FALSE),0)</f>
        <v>22800.83</v>
      </c>
      <c r="K53" s="6">
        <f>IFERROR(VLOOKUP($F53,'2. Post Test Year_Pivot'!$D$3:$E$22,2,FALSE),0)</f>
        <v>0</v>
      </c>
      <c r="L53" s="6"/>
      <c r="M53" s="6"/>
      <c r="N53" s="6"/>
      <c r="O53" s="6"/>
      <c r="P53" s="6">
        <f>IFERROR(VLOOKUP(F53,'9. Retirements'!$B$6:$C$57,2,FALSE),)</f>
        <v>0</v>
      </c>
      <c r="Q53" s="7">
        <f t="shared" ref="Q53:Q59" si="36">SUM(J53:P53)</f>
        <v>22800.83</v>
      </c>
      <c r="R53" s="6">
        <f t="shared" ref="R53:R59" si="37">ROUND(Q53*I53,0)</f>
        <v>0</v>
      </c>
      <c r="S53" s="6"/>
      <c r="T53" s="286">
        <f t="shared" si="31"/>
        <v>0</v>
      </c>
      <c r="U53" s="13"/>
    </row>
    <row r="54" spans="1:23">
      <c r="A54" s="5" t="str">
        <f t="shared" si="32"/>
        <v>389</v>
      </c>
      <c r="C54" s="5" t="str">
        <f t="shared" si="33"/>
        <v>COTTN</v>
      </c>
      <c r="D54" s="5" t="str">
        <f t="shared" si="34"/>
        <v>389COTTN</v>
      </c>
      <c r="E54" s="10"/>
      <c r="F54" s="5" t="s">
        <v>902</v>
      </c>
      <c r="G54" s="12">
        <f>IFERROR(VLOOKUP(D54,#REF!,2,FALSE),0)</f>
        <v>0</v>
      </c>
      <c r="H54" s="12">
        <f>IFERROR(VLOOKUP(D54,#REF!,3,FALSE),0)</f>
        <v>0</v>
      </c>
      <c r="I54" s="12">
        <f t="shared" si="35"/>
        <v>0</v>
      </c>
      <c r="J54" s="661">
        <f>IFERROR(VLOOKUP($F54,'1. BI Page 204-207'!$F$7:$L$148,7,FALSE),0)</f>
        <v>944962.17</v>
      </c>
      <c r="K54" s="6">
        <f>IFERROR(VLOOKUP($F54,'2. Post Test Year_Pivot'!$D$3:$E$22,2,FALSE),0)</f>
        <v>0</v>
      </c>
      <c r="L54" s="6"/>
      <c r="M54" s="6"/>
      <c r="N54" s="6"/>
      <c r="O54" s="6"/>
      <c r="P54" s="6">
        <f>IFERROR(VLOOKUP(F54,'9. Retirements'!$B$6:$C$57,2,FALSE),)</f>
        <v>0</v>
      </c>
      <c r="Q54" s="7">
        <f t="shared" si="36"/>
        <v>944962.17</v>
      </c>
      <c r="R54" s="6">
        <f t="shared" si="37"/>
        <v>0</v>
      </c>
      <c r="S54" s="6"/>
      <c r="T54" s="286">
        <f t="shared" si="31"/>
        <v>0</v>
      </c>
      <c r="U54" s="13"/>
    </row>
    <row r="55" spans="1:23">
      <c r="A55" s="5" t="str">
        <f t="shared" si="32"/>
        <v>389</v>
      </c>
      <c r="C55" s="5" t="str">
        <f t="shared" si="33"/>
        <v>FLAG0</v>
      </c>
      <c r="D55" s="5" t="str">
        <f t="shared" si="34"/>
        <v>389FLAG0</v>
      </c>
      <c r="E55" s="10"/>
      <c r="F55" s="5" t="s">
        <v>903</v>
      </c>
      <c r="G55" s="12">
        <f>IFERROR(VLOOKUP(D55,#REF!,2,FALSE),0)</f>
        <v>0</v>
      </c>
      <c r="H55" s="12">
        <f>IFERROR(VLOOKUP(D55,#REF!,3,FALSE),0)</f>
        <v>0</v>
      </c>
      <c r="I55" s="12">
        <f t="shared" si="35"/>
        <v>0</v>
      </c>
      <c r="J55" s="661">
        <f>IFERROR(VLOOKUP($F55,'1. BI Page 204-207'!$F$7:$L$148,7,FALSE),0)</f>
        <v>13912.5</v>
      </c>
      <c r="K55" s="6">
        <f>IFERROR(VLOOKUP($F55,'2. Post Test Year_Pivot'!$D$3:$E$22,2,FALSE),0)</f>
        <v>0</v>
      </c>
      <c r="L55" s="6"/>
      <c r="M55" s="6"/>
      <c r="N55" s="6"/>
      <c r="O55" s="6"/>
      <c r="P55" s="6">
        <f>IFERROR(VLOOKUP(F55,'9. Retirements'!$B$6:$C$57,2,FALSE),)</f>
        <v>0</v>
      </c>
      <c r="Q55" s="7">
        <f t="shared" si="36"/>
        <v>13912.5</v>
      </c>
      <c r="R55" s="6">
        <f t="shared" si="37"/>
        <v>0</v>
      </c>
      <c r="S55" s="6"/>
      <c r="T55" s="286">
        <f t="shared" si="31"/>
        <v>0</v>
      </c>
      <c r="U55" s="13"/>
    </row>
    <row r="56" spans="1:23">
      <c r="A56" s="5" t="str">
        <f t="shared" si="32"/>
        <v>389</v>
      </c>
      <c r="C56" s="5" t="str">
        <f t="shared" si="33"/>
        <v>HAVAS</v>
      </c>
      <c r="D56" s="5" t="str">
        <f t="shared" si="34"/>
        <v>389HAVAS</v>
      </c>
      <c r="E56" s="10"/>
      <c r="F56" s="5" t="s">
        <v>904</v>
      </c>
      <c r="G56" s="12">
        <f>IFERROR(VLOOKUP(D56,#REF!,2,FALSE),0)</f>
        <v>0</v>
      </c>
      <c r="H56" s="12">
        <f>IFERROR(VLOOKUP(D56,#REF!,3,FALSE),0)</f>
        <v>0</v>
      </c>
      <c r="I56" s="12">
        <f t="shared" si="35"/>
        <v>0</v>
      </c>
      <c r="J56" s="661">
        <f>IFERROR(VLOOKUP($F56,'1. BI Page 204-207'!$F$7:$L$148,7,FALSE),0)</f>
        <v>10548.51</v>
      </c>
      <c r="K56" s="6">
        <f>IFERROR(VLOOKUP($F56,'2. Post Test Year_Pivot'!$D$3:$E$22,2,FALSE),0)</f>
        <v>0</v>
      </c>
      <c r="L56" s="6"/>
      <c r="M56" s="6"/>
      <c r="N56" s="6"/>
      <c r="O56" s="6"/>
      <c r="P56" s="6">
        <f>IFERROR(VLOOKUP(F56,'9. Retirements'!$B$6:$C$57,2,FALSE),)</f>
        <v>0</v>
      </c>
      <c r="Q56" s="7">
        <f t="shared" si="36"/>
        <v>10548.51</v>
      </c>
      <c r="R56" s="6">
        <f t="shared" si="37"/>
        <v>0</v>
      </c>
      <c r="S56" s="6"/>
      <c r="T56" s="286">
        <f t="shared" si="31"/>
        <v>0</v>
      </c>
      <c r="U56" s="13"/>
    </row>
    <row r="57" spans="1:23">
      <c r="A57" s="5" t="str">
        <f t="shared" si="32"/>
        <v>389</v>
      </c>
      <c r="C57" s="5" t="str">
        <f t="shared" si="33"/>
        <v>HOLBR</v>
      </c>
      <c r="D57" s="5" t="str">
        <f t="shared" si="34"/>
        <v>389HOLBR</v>
      </c>
      <c r="E57" s="10"/>
      <c r="F57" s="5" t="s">
        <v>905</v>
      </c>
      <c r="G57" s="12">
        <f>IFERROR(VLOOKUP(D57,#REF!,2,FALSE),0)</f>
        <v>0</v>
      </c>
      <c r="H57" s="12">
        <f>IFERROR(VLOOKUP(D57,#REF!,3,FALSE),0)</f>
        <v>0</v>
      </c>
      <c r="I57" s="12">
        <f t="shared" si="35"/>
        <v>0</v>
      </c>
      <c r="J57" s="661">
        <f>IFERROR(VLOOKUP($F57,'1. BI Page 204-207'!$F$7:$L$148,7,FALSE),0)</f>
        <v>4832.04</v>
      </c>
      <c r="K57" s="6">
        <f>IFERROR(VLOOKUP($F57,'2. Post Test Year_Pivot'!$D$3:$E$22,2,FALSE),0)</f>
        <v>0</v>
      </c>
      <c r="L57" s="6"/>
      <c r="M57" s="6"/>
      <c r="N57" s="6"/>
      <c r="O57" s="6"/>
      <c r="P57" s="6">
        <f>IFERROR(VLOOKUP(F57,'9. Retirements'!$B$6:$C$57,2,FALSE),)</f>
        <v>0</v>
      </c>
      <c r="Q57" s="7">
        <f t="shared" si="36"/>
        <v>4832.04</v>
      </c>
      <c r="R57" s="6">
        <f t="shared" si="37"/>
        <v>0</v>
      </c>
      <c r="S57" s="6"/>
      <c r="T57" s="286">
        <f t="shared" si="31"/>
        <v>0</v>
      </c>
      <c r="U57" s="13"/>
    </row>
    <row r="58" spans="1:23">
      <c r="A58" s="5" t="str">
        <f t="shared" si="32"/>
        <v>389</v>
      </c>
      <c r="C58" s="5" t="str">
        <f t="shared" si="33"/>
        <v>PRESC</v>
      </c>
      <c r="D58" s="5" t="str">
        <f t="shared" si="34"/>
        <v>389PRESC</v>
      </c>
      <c r="E58" s="10"/>
      <c r="F58" s="5" t="s">
        <v>906</v>
      </c>
      <c r="G58" s="12">
        <f>IFERROR(VLOOKUP(D58,#REF!,2,FALSE),0)</f>
        <v>0</v>
      </c>
      <c r="H58" s="12">
        <f>IFERROR(VLOOKUP(D58,#REF!,3,FALSE),0)</f>
        <v>0</v>
      </c>
      <c r="I58" s="12">
        <f t="shared" si="35"/>
        <v>0</v>
      </c>
      <c r="J58" s="661">
        <f>IFERROR(VLOOKUP($F58,'1. BI Page 204-207'!$F$7:$L$148,7,FALSE),0)</f>
        <v>668759.22</v>
      </c>
      <c r="K58" s="6">
        <f>IFERROR(VLOOKUP($F58,'2. Post Test Year_Pivot'!$D$3:$E$22,2,FALSE),0)</f>
        <v>0</v>
      </c>
      <c r="L58" s="6"/>
      <c r="M58" s="6"/>
      <c r="N58" s="6"/>
      <c r="O58" s="6"/>
      <c r="P58" s="6">
        <f>IFERROR(VLOOKUP(F58,'9. Retirements'!$B$6:$C$57,2,FALSE),)</f>
        <v>0</v>
      </c>
      <c r="Q58" s="7">
        <f t="shared" si="36"/>
        <v>668759.22</v>
      </c>
      <c r="R58" s="6">
        <f t="shared" si="37"/>
        <v>0</v>
      </c>
      <c r="S58" s="6"/>
      <c r="T58" s="286">
        <f t="shared" si="31"/>
        <v>0</v>
      </c>
      <c r="U58" s="13"/>
    </row>
    <row r="59" spans="1:23">
      <c r="A59" s="5" t="str">
        <f t="shared" si="32"/>
        <v>389</v>
      </c>
      <c r="C59" s="5" t="str">
        <f t="shared" si="33"/>
        <v>WILLM</v>
      </c>
      <c r="D59" s="5" t="str">
        <f t="shared" si="34"/>
        <v>389WILLM</v>
      </c>
      <c r="E59" s="10"/>
      <c r="F59" s="5" t="s">
        <v>907</v>
      </c>
      <c r="G59" s="12">
        <f>IFERROR(VLOOKUP(D59,#REF!,2,FALSE),0)</f>
        <v>0</v>
      </c>
      <c r="H59" s="12">
        <f>IFERROR(VLOOKUP(D59,#REF!,3,FALSE),0)</f>
        <v>0</v>
      </c>
      <c r="I59" s="12">
        <f t="shared" si="35"/>
        <v>0</v>
      </c>
      <c r="J59" s="661">
        <f>IFERROR(VLOOKUP($F59,'1. BI Page 204-207'!$F$7:$L$148,7,FALSE),0)</f>
        <v>7647.5</v>
      </c>
      <c r="K59" s="6">
        <f>IFERROR(VLOOKUP($F59,'2. Post Test Year_Pivot'!$D$3:$E$22,2,FALSE),0)</f>
        <v>0</v>
      </c>
      <c r="L59" s="6"/>
      <c r="M59" s="6"/>
      <c r="N59" s="6"/>
      <c r="O59" s="6"/>
      <c r="P59" s="6">
        <f>IFERROR(VLOOKUP(F59,'9. Retirements'!$B$6:$C$57,2,FALSE),)</f>
        <v>0</v>
      </c>
      <c r="Q59" s="7">
        <f t="shared" si="36"/>
        <v>7647.5</v>
      </c>
      <c r="R59" s="6">
        <f t="shared" si="37"/>
        <v>0</v>
      </c>
      <c r="S59" s="6"/>
      <c r="T59" s="286">
        <f t="shared" si="31"/>
        <v>0</v>
      </c>
      <c r="U59" s="13"/>
    </row>
    <row r="60" spans="1:23">
      <c r="A60" s="8"/>
      <c r="B60" s="8"/>
      <c r="C60" s="8"/>
      <c r="D60" s="8"/>
      <c r="E60" s="8" t="s">
        <v>900</v>
      </c>
      <c r="F60" s="8" t="str">
        <f>MID(E60,2,3)</f>
        <v>389</v>
      </c>
      <c r="G60" s="8"/>
      <c r="H60" s="8"/>
      <c r="I60" s="8"/>
      <c r="J60" s="293">
        <f t="shared" ref="J60:R60" si="38">SUM(J53:J59)</f>
        <v>1673462.77</v>
      </c>
      <c r="K60" s="293">
        <f t="shared" si="38"/>
        <v>0</v>
      </c>
      <c r="L60" s="293">
        <f t="shared" si="38"/>
        <v>0</v>
      </c>
      <c r="M60" s="293">
        <f t="shared" si="38"/>
        <v>0</v>
      </c>
      <c r="N60" s="293">
        <f t="shared" si="38"/>
        <v>0</v>
      </c>
      <c r="O60" s="293">
        <f t="shared" si="38"/>
        <v>0</v>
      </c>
      <c r="P60" s="293">
        <f t="shared" si="38"/>
        <v>0</v>
      </c>
      <c r="Q60" s="293">
        <f t="shared" si="38"/>
        <v>1673462.77</v>
      </c>
      <c r="R60" s="293">
        <f t="shared" si="38"/>
        <v>0</v>
      </c>
      <c r="S60" s="292">
        <f>'3. Depreciation Expense Dtl'!O37</f>
        <v>870</v>
      </c>
      <c r="T60" s="292">
        <f>R60-S60</f>
        <v>-870</v>
      </c>
      <c r="U60" s="13" t="s">
        <v>1218</v>
      </c>
      <c r="V60" s="669" t="str">
        <f>LEFT(E60,4)</f>
        <v>G389</v>
      </c>
      <c r="W60" s="672">
        <f>'3. Depreciation Expense Dtl'!E37+'3. Depreciation Expense Dtl'!L37</f>
        <v>870.24</v>
      </c>
    </row>
    <row r="61" spans="1:23">
      <c r="A61" s="5" t="str">
        <f t="shared" ref="A61:A73" si="39">MID(F61,3,3)</f>
        <v>390</v>
      </c>
      <c r="C61" s="11" t="s">
        <v>73</v>
      </c>
      <c r="D61" s="437" t="str">
        <f>CONCATENATE(A61,C61)</f>
        <v>39000000</v>
      </c>
      <c r="E61" s="10" t="s">
        <v>899</v>
      </c>
      <c r="F61" s="265" t="s">
        <v>912</v>
      </c>
      <c r="G61" s="266">
        <f>IFERROR(VLOOKUP($D61,'4. New Depr Rates'!$R$8:$W$69,2,FALSE),0)</f>
        <v>2.6699999999999998E-2</v>
      </c>
      <c r="H61" s="266">
        <f>IFERROR(VLOOKUP($D61,'4. New Depr Rates'!$R$8:$W$69,4,FALSE),0)</f>
        <v>1.4000000000000013E-3</v>
      </c>
      <c r="I61" s="266">
        <f>IFERROR(VLOOKUP($D61,'4. New Depr Rates'!$R$8:$W$69,6,FALSE),0)</f>
        <v>2.81E-2</v>
      </c>
      <c r="J61" s="661">
        <f>IFERROR(VLOOKUP($F61,'1. BI Page 204-207'!$F$7:$L$148,7,FALSE),0)</f>
        <v>8237260.9199999999</v>
      </c>
      <c r="K61" s="6"/>
      <c r="L61" s="6"/>
      <c r="M61" s="6"/>
      <c r="N61" s="6"/>
      <c r="O61" s="6"/>
      <c r="P61" s="6">
        <f>IFERROR(VLOOKUP(F61,'9. Retirements'!$B$6:$C$57,2,FALSE),)</f>
        <v>0</v>
      </c>
      <c r="Q61" s="7">
        <f t="shared" ref="Q61:Q73" si="40">SUM(J61:P61)</f>
        <v>8237260.9199999999</v>
      </c>
      <c r="R61" s="6">
        <f t="shared" ref="R61:R73" si="41">ROUND(Q61*I61,0)</f>
        <v>231467</v>
      </c>
      <c r="S61" s="6"/>
      <c r="U61" s="13"/>
    </row>
    <row r="62" spans="1:23">
      <c r="A62" s="5" t="str">
        <f t="shared" si="39"/>
        <v>390</v>
      </c>
      <c r="C62" s="11" t="s">
        <v>73</v>
      </c>
      <c r="D62" s="437" t="str">
        <f>CONCATENATE(A62,C62)</f>
        <v>39000000</v>
      </c>
      <c r="E62" s="10"/>
      <c r="F62" s="265" t="s">
        <v>913</v>
      </c>
      <c r="G62" s="266">
        <f>IFERROR(VLOOKUP($D62,'4. New Depr Rates'!$R$8:$W$69,2,FALSE),0)</f>
        <v>2.6699999999999998E-2</v>
      </c>
      <c r="H62" s="266">
        <f>IFERROR(VLOOKUP($D62,'4. New Depr Rates'!$R$8:$W$69,4,FALSE),0)</f>
        <v>1.4000000000000013E-3</v>
      </c>
      <c r="I62" s="266">
        <f>IFERROR(VLOOKUP($D62,'4. New Depr Rates'!$R$8:$W$69,6,FALSE),0)</f>
        <v>2.81E-2</v>
      </c>
      <c r="J62" s="661">
        <f>IFERROR(VLOOKUP($F62,'1. BI Page 204-207'!$F$7:$L$148,7,FALSE),0)</f>
        <v>878614.76</v>
      </c>
      <c r="K62" s="6"/>
      <c r="L62" s="262"/>
      <c r="M62" s="262"/>
      <c r="N62" s="262"/>
      <c r="O62" s="262"/>
      <c r="P62" s="6">
        <f>IFERROR(VLOOKUP(F62,'9. Retirements'!$B$6:$C$57,2,FALSE),)</f>
        <v>-3321.06</v>
      </c>
      <c r="Q62" s="7">
        <f t="shared" si="40"/>
        <v>875293.7</v>
      </c>
      <c r="R62" s="6">
        <f t="shared" si="41"/>
        <v>24596</v>
      </c>
      <c r="S62" s="6"/>
      <c r="U62" s="13"/>
    </row>
    <row r="63" spans="1:23">
      <c r="A63" s="5" t="str">
        <f t="shared" si="39"/>
        <v>390</v>
      </c>
      <c r="C63" s="11" t="s">
        <v>73</v>
      </c>
      <c r="D63" s="437" t="str">
        <f>CONCATENATE(A63,C63)</f>
        <v>39000000</v>
      </c>
      <c r="E63" s="10"/>
      <c r="F63" s="265" t="s">
        <v>914</v>
      </c>
      <c r="G63" s="266">
        <f>IFERROR(VLOOKUP($D63,'4. New Depr Rates'!$R$8:$W$69,2,FALSE),0)</f>
        <v>2.6699999999999998E-2</v>
      </c>
      <c r="H63" s="266">
        <f>IFERROR(VLOOKUP($D63,'4. New Depr Rates'!$R$8:$W$69,4,FALSE),0)</f>
        <v>1.4000000000000013E-3</v>
      </c>
      <c r="I63" s="266">
        <f>IFERROR(VLOOKUP($D63,'4. New Depr Rates'!$R$8:$W$69,6,FALSE),0)</f>
        <v>2.81E-2</v>
      </c>
      <c r="J63" s="661">
        <f>IFERROR(VLOOKUP($F63,'1. BI Page 204-207'!$F$7:$L$148,7,FALSE),0)</f>
        <v>791730.69</v>
      </c>
      <c r="K63" s="6"/>
      <c r="L63" s="262"/>
      <c r="M63" s="262"/>
      <c r="N63" s="262"/>
      <c r="O63" s="262"/>
      <c r="P63" s="6">
        <f>IFERROR(VLOOKUP(F63,'9. Retirements'!$B$6:$C$57,2,FALSE),)</f>
        <v>0</v>
      </c>
      <c r="Q63" s="7">
        <f t="shared" si="40"/>
        <v>791730.69</v>
      </c>
      <c r="R63" s="6">
        <f t="shared" si="41"/>
        <v>22248</v>
      </c>
      <c r="S63" s="6"/>
      <c r="U63" s="13"/>
    </row>
    <row r="64" spans="1:23">
      <c r="A64" s="5" t="str">
        <f t="shared" si="39"/>
        <v>390</v>
      </c>
      <c r="C64" s="11" t="s">
        <v>73</v>
      </c>
      <c r="D64" s="437" t="str">
        <f>CONCATENATE(A64,C64)</f>
        <v>39000000</v>
      </c>
      <c r="E64" s="10"/>
      <c r="F64" s="265" t="s">
        <v>915</v>
      </c>
      <c r="G64" s="266">
        <f>IFERROR(VLOOKUP($D64,'4. New Depr Rates'!$R$8:$W$69,2,FALSE),0)</f>
        <v>2.6699999999999998E-2</v>
      </c>
      <c r="H64" s="266">
        <f>IFERROR(VLOOKUP($D64,'4. New Depr Rates'!$R$8:$W$69,4,FALSE),0)</f>
        <v>1.4000000000000013E-3</v>
      </c>
      <c r="I64" s="266">
        <f>IFERROR(VLOOKUP($D64,'4. New Depr Rates'!$R$8:$W$69,6,FALSE),0)</f>
        <v>2.81E-2</v>
      </c>
      <c r="J64" s="661">
        <f>IFERROR(VLOOKUP($F64,'1. BI Page 204-207'!$F$7:$L$148,7,FALSE),0)</f>
        <v>366215.52</v>
      </c>
      <c r="K64" s="6"/>
      <c r="L64" s="262"/>
      <c r="M64" s="262"/>
      <c r="N64" s="262"/>
      <c r="O64" s="262"/>
      <c r="P64" s="6">
        <f>IFERROR(VLOOKUP(F64,'9. Retirements'!$B$6:$C$57,2,FALSE),)</f>
        <v>0</v>
      </c>
      <c r="Q64" s="7">
        <f t="shared" si="40"/>
        <v>366215.52</v>
      </c>
      <c r="R64" s="6">
        <f t="shared" si="41"/>
        <v>10291</v>
      </c>
      <c r="S64" s="6"/>
      <c r="U64" s="13"/>
    </row>
    <row r="65" spans="1:23">
      <c r="A65" s="5" t="str">
        <f t="shared" si="39"/>
        <v>390</v>
      </c>
      <c r="C65" s="11" t="s">
        <v>73</v>
      </c>
      <c r="D65" s="437" t="str">
        <f>CONCATENATE(A65,C65)</f>
        <v>39000000</v>
      </c>
      <c r="E65" s="10"/>
      <c r="F65" s="265" t="s">
        <v>916</v>
      </c>
      <c r="G65" s="266">
        <f>IFERROR(VLOOKUP($D65,'4. New Depr Rates'!$R$8:$W$69,2,FALSE),0)</f>
        <v>2.6699999999999998E-2</v>
      </c>
      <c r="H65" s="266">
        <f>IFERROR(VLOOKUP($D65,'4. New Depr Rates'!$R$8:$W$69,4,FALSE),0)</f>
        <v>1.4000000000000013E-3</v>
      </c>
      <c r="I65" s="266">
        <f>IFERROR(VLOOKUP($D65,'4. New Depr Rates'!$R$8:$W$69,6,FALSE),0)</f>
        <v>2.81E-2</v>
      </c>
      <c r="J65" s="661">
        <f>IFERROR(VLOOKUP($F65,'1. BI Page 204-207'!$F$7:$L$148,7,FALSE),0)</f>
        <v>66664.92</v>
      </c>
      <c r="K65" s="6"/>
      <c r="L65" s="262"/>
      <c r="M65" s="262"/>
      <c r="N65" s="262"/>
      <c r="O65" s="262"/>
      <c r="P65" s="6">
        <f>IFERROR(VLOOKUP(F65,'9. Retirements'!$B$6:$C$57,2,FALSE),)</f>
        <v>0</v>
      </c>
      <c r="Q65" s="7">
        <f t="shared" si="40"/>
        <v>66664.92</v>
      </c>
      <c r="R65" s="6">
        <f t="shared" si="41"/>
        <v>1873</v>
      </c>
      <c r="S65" s="6"/>
      <c r="U65" s="13"/>
    </row>
    <row r="66" spans="1:23">
      <c r="A66" s="5" t="str">
        <f t="shared" si="39"/>
        <v>390</v>
      </c>
      <c r="C66" s="11" t="s">
        <v>73</v>
      </c>
      <c r="D66" s="437" t="str">
        <f t="shared" ref="D66:D73" si="42">CONCATENATE(A66,C66)</f>
        <v>39000000</v>
      </c>
      <c r="E66" s="10"/>
      <c r="F66" s="265" t="s">
        <v>917</v>
      </c>
      <c r="G66" s="266">
        <f>IFERROR(VLOOKUP($D66,'4. New Depr Rates'!$R$8:$W$69,2,FALSE),0)</f>
        <v>2.6699999999999998E-2</v>
      </c>
      <c r="H66" s="266">
        <f>IFERROR(VLOOKUP($D66,'4. New Depr Rates'!$R$8:$W$69,4,FALSE),0)</f>
        <v>1.4000000000000013E-3</v>
      </c>
      <c r="I66" s="266">
        <f>IFERROR(VLOOKUP($D66,'4. New Depr Rates'!$R$8:$W$69,6,FALSE),0)</f>
        <v>2.81E-2</v>
      </c>
      <c r="J66" s="661">
        <f>IFERROR(VLOOKUP($F66,'1. BI Page 204-207'!$F$7:$L$148,7,FALSE),0)</f>
        <v>738710.73</v>
      </c>
      <c r="K66" s="6"/>
      <c r="L66" s="6"/>
      <c r="M66" s="6"/>
      <c r="N66" s="6"/>
      <c r="O66" s="6"/>
      <c r="P66" s="6">
        <f>IFERROR(VLOOKUP(F66,'9. Retirements'!$B$6:$C$57,2,FALSE),)</f>
        <v>0</v>
      </c>
      <c r="Q66" s="7">
        <f t="shared" si="40"/>
        <v>738710.73</v>
      </c>
      <c r="R66" s="6">
        <f t="shared" si="41"/>
        <v>20758</v>
      </c>
      <c r="S66" s="6"/>
      <c r="U66" s="13"/>
    </row>
    <row r="67" spans="1:23">
      <c r="A67" s="5" t="str">
        <f t="shared" si="39"/>
        <v>390</v>
      </c>
      <c r="C67" s="11" t="s">
        <v>73</v>
      </c>
      <c r="D67" s="437" t="str">
        <f t="shared" si="42"/>
        <v>39000000</v>
      </c>
      <c r="E67" s="10"/>
      <c r="F67" s="265" t="s">
        <v>918</v>
      </c>
      <c r="G67" s="266">
        <f>IFERROR(VLOOKUP($D67,'4. New Depr Rates'!$R$8:$W$69,2,FALSE),0)</f>
        <v>2.6699999999999998E-2</v>
      </c>
      <c r="H67" s="266">
        <f>IFERROR(VLOOKUP($D67,'4. New Depr Rates'!$R$8:$W$69,4,FALSE),0)</f>
        <v>1.4000000000000013E-3</v>
      </c>
      <c r="I67" s="266">
        <f>IFERROR(VLOOKUP($D67,'4. New Depr Rates'!$R$8:$W$69,6,FALSE),0)</f>
        <v>2.81E-2</v>
      </c>
      <c r="J67" s="661">
        <f>IFERROR(VLOOKUP($F67,'1. BI Page 204-207'!$F$7:$L$148,7,FALSE),0)</f>
        <v>12258729.960000001</v>
      </c>
      <c r="K67" s="439">
        <f>'2. Post Test Year_Pivot'!E15</f>
        <v>199801</v>
      </c>
      <c r="L67" s="6"/>
      <c r="M67" s="6"/>
      <c r="N67" s="6"/>
      <c r="O67" s="6"/>
      <c r="P67" s="6">
        <f>IFERROR(VLOOKUP(F67,'9. Retirements'!$B$6:$C$57,2,FALSE),)</f>
        <v>-44058.99</v>
      </c>
      <c r="Q67" s="7">
        <f t="shared" si="40"/>
        <v>12414471.970000001</v>
      </c>
      <c r="R67" s="6">
        <f t="shared" si="41"/>
        <v>348847</v>
      </c>
      <c r="S67" s="6"/>
      <c r="U67" s="13"/>
    </row>
    <row r="68" spans="1:23">
      <c r="A68" s="5" t="str">
        <f t="shared" si="39"/>
        <v>390</v>
      </c>
      <c r="C68" s="11" t="s">
        <v>73</v>
      </c>
      <c r="D68" s="437" t="str">
        <f t="shared" si="42"/>
        <v>39000000</v>
      </c>
      <c r="E68" s="10"/>
      <c r="F68" s="265" t="s">
        <v>919</v>
      </c>
      <c r="G68" s="266">
        <f>IFERROR(VLOOKUP($D68,'4. New Depr Rates'!$R$8:$W$69,2,FALSE),0)</f>
        <v>2.6699999999999998E-2</v>
      </c>
      <c r="H68" s="266">
        <f>IFERROR(VLOOKUP($D68,'4. New Depr Rates'!$R$8:$W$69,4,FALSE),0)</f>
        <v>1.4000000000000013E-3</v>
      </c>
      <c r="I68" s="266">
        <f>IFERROR(VLOOKUP($D68,'4. New Depr Rates'!$R$8:$W$69,6,FALSE),0)</f>
        <v>2.81E-2</v>
      </c>
      <c r="J68" s="661">
        <f>IFERROR(VLOOKUP($F68,'1. BI Page 204-207'!$F$7:$L$148,7,FALSE),0)</f>
        <v>1346847.94</v>
      </c>
      <c r="K68" s="6"/>
      <c r="L68" s="6"/>
      <c r="M68" s="6"/>
      <c r="N68" s="6"/>
      <c r="O68" s="6"/>
      <c r="P68" s="6">
        <f>IFERROR(VLOOKUP(F68,'9. Retirements'!$B$6:$C$57,2,FALSE),)</f>
        <v>0</v>
      </c>
      <c r="Q68" s="7">
        <f t="shared" si="40"/>
        <v>1346847.94</v>
      </c>
      <c r="R68" s="6">
        <f t="shared" si="41"/>
        <v>37846</v>
      </c>
      <c r="S68" s="6"/>
      <c r="U68" s="13"/>
    </row>
    <row r="69" spans="1:23">
      <c r="A69" s="5" t="str">
        <f t="shared" si="39"/>
        <v>390</v>
      </c>
      <c r="C69" s="11" t="s">
        <v>73</v>
      </c>
      <c r="D69" s="437" t="str">
        <f t="shared" si="42"/>
        <v>39000000</v>
      </c>
      <c r="E69" s="10"/>
      <c r="F69" s="265" t="s">
        <v>920</v>
      </c>
      <c r="G69" s="266">
        <f>IFERROR(VLOOKUP($D69,'4. New Depr Rates'!$R$8:$W$69,2,FALSE),0)</f>
        <v>2.6699999999999998E-2</v>
      </c>
      <c r="H69" s="266">
        <f>IFERROR(VLOOKUP($D69,'4. New Depr Rates'!$R$8:$W$69,4,FALSE),0)</f>
        <v>1.4000000000000013E-3</v>
      </c>
      <c r="I69" s="266">
        <f>IFERROR(VLOOKUP($D69,'4. New Depr Rates'!$R$8:$W$69,6,FALSE),0)</f>
        <v>2.81E-2</v>
      </c>
      <c r="J69" s="661">
        <f>IFERROR(VLOOKUP($F69,'1. BI Page 204-207'!$F$7:$L$148,7,FALSE),0)</f>
        <v>13526</v>
      </c>
      <c r="K69" s="6"/>
      <c r="L69" s="6"/>
      <c r="M69" s="6"/>
      <c r="N69" s="6"/>
      <c r="O69" s="6"/>
      <c r="P69" s="6">
        <f>IFERROR(VLOOKUP(F69,'9. Retirements'!$B$6:$C$57,2,FALSE),)</f>
        <v>0</v>
      </c>
      <c r="Q69" s="7">
        <f t="shared" si="40"/>
        <v>13526</v>
      </c>
      <c r="R69" s="6">
        <f t="shared" si="41"/>
        <v>380</v>
      </c>
      <c r="S69" s="6"/>
      <c r="U69" s="13"/>
    </row>
    <row r="70" spans="1:23">
      <c r="A70" s="5" t="str">
        <f t="shared" si="39"/>
        <v>390</v>
      </c>
      <c r="C70" s="11" t="s">
        <v>73</v>
      </c>
      <c r="D70" s="437" t="str">
        <f t="shared" si="42"/>
        <v>39000000</v>
      </c>
      <c r="E70" s="10"/>
      <c r="F70" s="265" t="s">
        <v>921</v>
      </c>
      <c r="G70" s="266">
        <f>IFERROR(VLOOKUP($D70,'4. New Depr Rates'!$R$8:$W$69,2,FALSE),0)</f>
        <v>2.6699999999999998E-2</v>
      </c>
      <c r="H70" s="266">
        <f>IFERROR(VLOOKUP($D70,'4. New Depr Rates'!$R$8:$W$69,4,FALSE),0)</f>
        <v>1.4000000000000013E-3</v>
      </c>
      <c r="I70" s="266">
        <f>IFERROR(VLOOKUP($D70,'4. New Depr Rates'!$R$8:$W$69,6,FALSE),0)</f>
        <v>2.81E-2</v>
      </c>
      <c r="J70" s="661">
        <f>IFERROR(VLOOKUP($F70,'1. BI Page 204-207'!$F$7:$L$148,7,FALSE),0)</f>
        <v>31294.22</v>
      </c>
      <c r="K70" s="6"/>
      <c r="L70" s="262"/>
      <c r="M70" s="262"/>
      <c r="N70" s="262"/>
      <c r="O70" s="262"/>
      <c r="P70" s="6">
        <f>IFERROR(VLOOKUP(F70,'9. Retirements'!$B$6:$C$57,2,FALSE),)</f>
        <v>0</v>
      </c>
      <c r="Q70" s="7">
        <f t="shared" si="40"/>
        <v>31294.22</v>
      </c>
      <c r="R70" s="6">
        <f t="shared" si="41"/>
        <v>879</v>
      </c>
      <c r="S70" s="6"/>
      <c r="U70" s="13"/>
    </row>
    <row r="71" spans="1:23">
      <c r="A71" s="5" t="str">
        <f t="shared" si="39"/>
        <v>390</v>
      </c>
      <c r="C71" s="11" t="s">
        <v>73</v>
      </c>
      <c r="D71" s="437" t="str">
        <f t="shared" si="42"/>
        <v>39000000</v>
      </c>
      <c r="E71" s="10"/>
      <c r="F71" s="265" t="s">
        <v>922</v>
      </c>
      <c r="G71" s="266">
        <f>IFERROR(VLOOKUP($D71,'4. New Depr Rates'!$R$8:$W$69,2,FALSE),0)</f>
        <v>2.6699999999999998E-2</v>
      </c>
      <c r="H71" s="266">
        <f>IFERROR(VLOOKUP($D71,'4. New Depr Rates'!$R$8:$W$69,4,FALSE),0)</f>
        <v>1.4000000000000013E-3</v>
      </c>
      <c r="I71" s="266">
        <f>IFERROR(VLOOKUP($D71,'4. New Depr Rates'!$R$8:$W$69,6,FALSE),0)</f>
        <v>2.81E-2</v>
      </c>
      <c r="J71" s="661">
        <f>IFERROR(VLOOKUP($F71,'1. BI Page 204-207'!$F$7:$L$148,7,FALSE),0)</f>
        <v>80816.39</v>
      </c>
      <c r="K71" s="6"/>
      <c r="L71" s="262"/>
      <c r="M71" s="262"/>
      <c r="N71" s="262"/>
      <c r="O71" s="262"/>
      <c r="P71" s="6">
        <f>IFERROR(VLOOKUP(F71,'9. Retirements'!$B$6:$C$57,2,FALSE),)</f>
        <v>-942.19</v>
      </c>
      <c r="Q71" s="7">
        <f t="shared" si="40"/>
        <v>79874.2</v>
      </c>
      <c r="R71" s="6">
        <f t="shared" si="41"/>
        <v>2244</v>
      </c>
      <c r="S71" s="6"/>
      <c r="U71" s="13"/>
    </row>
    <row r="72" spans="1:23">
      <c r="A72" s="5" t="str">
        <f t="shared" si="39"/>
        <v>390</v>
      </c>
      <c r="C72" s="11" t="s">
        <v>73</v>
      </c>
      <c r="D72" s="437" t="str">
        <f t="shared" si="42"/>
        <v>39000000</v>
      </c>
      <c r="E72" s="10"/>
      <c r="F72" s="265" t="s">
        <v>923</v>
      </c>
      <c r="G72" s="266">
        <f>IFERROR(VLOOKUP($D72,'4. New Depr Rates'!$R$8:$W$69,2,FALSE),0)</f>
        <v>2.6699999999999998E-2</v>
      </c>
      <c r="H72" s="266">
        <f>IFERROR(VLOOKUP($D72,'4. New Depr Rates'!$R$8:$W$69,4,FALSE),0)</f>
        <v>1.4000000000000013E-3</v>
      </c>
      <c r="I72" s="266">
        <f>IFERROR(VLOOKUP($D72,'4. New Depr Rates'!$R$8:$W$69,6,FALSE),0)</f>
        <v>2.81E-2</v>
      </c>
      <c r="J72" s="661">
        <f>IFERROR(VLOOKUP($F72,'1. BI Page 204-207'!$F$7:$L$148,7,FALSE),0)</f>
        <v>51138.81</v>
      </c>
      <c r="K72" s="6"/>
      <c r="L72" s="6"/>
      <c r="M72" s="6"/>
      <c r="N72" s="6"/>
      <c r="O72" s="6"/>
      <c r="P72" s="6">
        <f>IFERROR(VLOOKUP(F72,'9. Retirements'!$B$6:$C$57,2,FALSE),)</f>
        <v>0</v>
      </c>
      <c r="Q72" s="7">
        <f t="shared" si="40"/>
        <v>51138.81</v>
      </c>
      <c r="R72" s="6">
        <f t="shared" si="41"/>
        <v>1437</v>
      </c>
      <c r="S72" s="6"/>
      <c r="U72" s="13"/>
    </row>
    <row r="73" spans="1:23">
      <c r="A73" s="5" t="str">
        <f t="shared" si="39"/>
        <v>390</v>
      </c>
      <c r="C73" s="11" t="s">
        <v>73</v>
      </c>
      <c r="D73" s="437" t="str">
        <f t="shared" si="42"/>
        <v>39000000</v>
      </c>
      <c r="E73" s="10"/>
      <c r="F73" s="265" t="s">
        <v>924</v>
      </c>
      <c r="G73" s="266">
        <f>IFERROR(VLOOKUP($D73,'4. New Depr Rates'!$R$8:$W$69,2,FALSE),0)</f>
        <v>2.6699999999999998E-2</v>
      </c>
      <c r="H73" s="266">
        <f>IFERROR(VLOOKUP($D73,'4. New Depr Rates'!$R$8:$W$69,4,FALSE),0)</f>
        <v>1.4000000000000013E-3</v>
      </c>
      <c r="I73" s="266">
        <f>IFERROR(VLOOKUP($D73,'4. New Depr Rates'!$R$8:$W$69,6,FALSE),0)</f>
        <v>2.81E-2</v>
      </c>
      <c r="J73" s="661">
        <f>IFERROR(VLOOKUP($F73,'1. BI Page 204-207'!$F$7:$L$148,7,FALSE),0)</f>
        <v>5564.75</v>
      </c>
      <c r="K73" s="6"/>
      <c r="L73" s="262"/>
      <c r="M73" s="262"/>
      <c r="N73" s="262"/>
      <c r="O73" s="262"/>
      <c r="P73" s="6">
        <f>IFERROR(VLOOKUP(F73,'9. Retirements'!$B$6:$C$57,2,FALSE),)</f>
        <v>0</v>
      </c>
      <c r="Q73" s="7">
        <f t="shared" si="40"/>
        <v>5564.75</v>
      </c>
      <c r="R73" s="6">
        <f t="shared" si="41"/>
        <v>156</v>
      </c>
      <c r="S73" s="6"/>
      <c r="U73" s="13"/>
    </row>
    <row r="74" spans="1:23">
      <c r="A74" s="8"/>
      <c r="B74" s="8"/>
      <c r="C74" s="8"/>
      <c r="D74" s="8"/>
      <c r="E74" s="8" t="s">
        <v>909</v>
      </c>
      <c r="F74" s="8" t="str">
        <f>MID(E74,2,3)</f>
        <v>390</v>
      </c>
      <c r="G74" s="8"/>
      <c r="H74" s="8"/>
      <c r="I74" s="8"/>
      <c r="J74" s="293">
        <f t="shared" ref="J74:R74" si="43">SUM(J61:J73)</f>
        <v>24867115.609999999</v>
      </c>
      <c r="K74" s="293">
        <f t="shared" si="43"/>
        <v>199801</v>
      </c>
      <c r="L74" s="293">
        <f t="shared" si="43"/>
        <v>0</v>
      </c>
      <c r="M74" s="293">
        <f t="shared" si="43"/>
        <v>0</v>
      </c>
      <c r="N74" s="293">
        <f t="shared" si="43"/>
        <v>0</v>
      </c>
      <c r="O74" s="293">
        <f t="shared" si="43"/>
        <v>0</v>
      </c>
      <c r="P74" s="293">
        <f t="shared" si="43"/>
        <v>-48322.239999999998</v>
      </c>
      <c r="Q74" s="293">
        <f t="shared" si="43"/>
        <v>25018594.369999997</v>
      </c>
      <c r="R74" s="293">
        <f t="shared" si="43"/>
        <v>703022</v>
      </c>
      <c r="S74" s="292">
        <f>'3. Depreciation Expense Dtl'!O38</f>
        <v>789376</v>
      </c>
      <c r="T74" s="292">
        <f>R74-S74</f>
        <v>-86354</v>
      </c>
      <c r="U74" s="13" t="s">
        <v>1219</v>
      </c>
      <c r="V74" s="669" t="str">
        <f>LEFT(E74,4)</f>
        <v>G390</v>
      </c>
      <c r="W74" s="672">
        <f>'3. Depreciation Expense Dtl'!E38+'3. Depreciation Expense Dtl'!L38</f>
        <v>-2432.08</v>
      </c>
    </row>
    <row r="75" spans="1:23">
      <c r="A75" s="5" t="str">
        <f t="shared" ref="A75:A81" si="44">MID(F75,3,3)</f>
        <v>391</v>
      </c>
      <c r="B75" s="5" t="str">
        <f t="shared" ref="B75:B81" si="45">MID(F75,6,2)</f>
        <v>CP</v>
      </c>
      <c r="C75" s="11" t="s">
        <v>73</v>
      </c>
      <c r="D75" s="437" t="str">
        <f t="shared" ref="D75:D81" si="46">CONCATENATE(A75,".",B75,C75)</f>
        <v>391.CP00000</v>
      </c>
      <c r="E75" s="10" t="s">
        <v>910</v>
      </c>
      <c r="F75" s="5" t="s">
        <v>996</v>
      </c>
      <c r="G75" s="12">
        <f>IFERROR(VLOOKUP($D75,'4. New Depr Rates'!$R$8:$W$69,2,FALSE),0)</f>
        <v>0.2</v>
      </c>
      <c r="H75" s="12">
        <f>IFERROR(VLOOKUP($D75,'4. New Depr Rates'!$R$8:$W$69,4,FALSE),0)</f>
        <v>0</v>
      </c>
      <c r="I75" s="12">
        <f>IFERROR(VLOOKUP($D75,'4. New Depr Rates'!$R$8:$W$69,6,FALSE),0)</f>
        <v>0.2</v>
      </c>
      <c r="J75" s="661">
        <f>IFERROR(VLOOKUP($F75,'1. BI Page 204-207'!$F$7:$L$148,7,FALSE),0)</f>
        <v>990581.48</v>
      </c>
      <c r="K75" s="6"/>
      <c r="L75" s="6"/>
      <c r="M75" s="6"/>
      <c r="N75" s="6"/>
      <c r="O75" s="6"/>
      <c r="P75" s="6">
        <f>IFERROR(VLOOKUP(F75,'9. Retirements'!$B$6:$C$57,2,FALSE),)</f>
        <v>-111590.19</v>
      </c>
      <c r="Q75" s="7">
        <f t="shared" ref="Q75:Q88" si="47">SUM(J75:P75)</f>
        <v>878991.29</v>
      </c>
      <c r="R75" s="6">
        <f t="shared" ref="R75:R88" si="48">ROUND(Q75*I75,0)</f>
        <v>175798</v>
      </c>
      <c r="S75" s="6"/>
      <c r="U75" s="13"/>
    </row>
    <row r="76" spans="1:23">
      <c r="A76" s="5" t="str">
        <f t="shared" si="44"/>
        <v>391</v>
      </c>
      <c r="B76" s="5" t="str">
        <f t="shared" si="45"/>
        <v>NT</v>
      </c>
      <c r="C76" s="11" t="s">
        <v>73</v>
      </c>
      <c r="D76" s="437" t="str">
        <f t="shared" si="46"/>
        <v>391.NT00000</v>
      </c>
      <c r="E76" s="10"/>
      <c r="F76" s="5" t="s">
        <v>1001</v>
      </c>
      <c r="G76" s="12">
        <f>IFERROR(VLOOKUP($D76,'4. New Depr Rates'!$R$8:$W$69,2,FALSE),0)</f>
        <v>0.2</v>
      </c>
      <c r="H76" s="12">
        <f>IFERROR(VLOOKUP($D76,'4. New Depr Rates'!$R$8:$W$69,4,FALSE),0)</f>
        <v>0</v>
      </c>
      <c r="I76" s="12">
        <f>IFERROR(VLOOKUP($D76,'4. New Depr Rates'!$R$8:$W$69,6,FALSE),0)</f>
        <v>0.2</v>
      </c>
      <c r="J76" s="661">
        <f>IFERROR(VLOOKUP($F76,'1. BI Page 204-207'!$F$7:$L$148,7,FALSE),0)</f>
        <v>560893.39</v>
      </c>
      <c r="K76" s="6"/>
      <c r="L76" s="6"/>
      <c r="M76" s="6"/>
      <c r="N76" s="6"/>
      <c r="O76" s="6"/>
      <c r="P76" s="6">
        <f>IFERROR(VLOOKUP(F76,'9. Retirements'!$B$6:$C$57,2,FALSE),)</f>
        <v>-6042.16</v>
      </c>
      <c r="Q76" s="7">
        <f t="shared" si="47"/>
        <v>554851.23</v>
      </c>
      <c r="R76" s="6">
        <f t="shared" si="48"/>
        <v>110970</v>
      </c>
      <c r="S76" s="6"/>
      <c r="U76" s="13"/>
    </row>
    <row r="77" spans="1:23">
      <c r="A77" s="5" t="str">
        <f t="shared" si="44"/>
        <v>391</v>
      </c>
      <c r="B77" s="5" t="str">
        <f t="shared" si="45"/>
        <v>NT</v>
      </c>
      <c r="C77" s="11" t="s">
        <v>73</v>
      </c>
      <c r="D77" s="437" t="str">
        <f t="shared" si="46"/>
        <v>391.NT00000</v>
      </c>
      <c r="E77" s="10"/>
      <c r="F77" s="5" t="s">
        <v>1002</v>
      </c>
      <c r="G77" s="12">
        <f>IFERROR(VLOOKUP($D77,'4. New Depr Rates'!$R$8:$W$69,2,FALSE),0)</f>
        <v>0.2</v>
      </c>
      <c r="H77" s="12">
        <f>IFERROR(VLOOKUP($D77,'4. New Depr Rates'!$R$8:$W$69,4,FALSE),0)</f>
        <v>0</v>
      </c>
      <c r="I77" s="12">
        <f>IFERROR(VLOOKUP($D77,'4. New Depr Rates'!$R$8:$W$69,6,FALSE),0)</f>
        <v>0.2</v>
      </c>
      <c r="J77" s="661">
        <f>IFERROR(VLOOKUP($F77,'1. BI Page 204-207'!$F$7:$L$148,7,FALSE),0)</f>
        <v>1131978.17</v>
      </c>
      <c r="K77" s="439">
        <f>'2. Post Test Year_Pivot'!E16</f>
        <v>107727</v>
      </c>
      <c r="L77" s="6"/>
      <c r="M77" s="6"/>
      <c r="N77" s="6"/>
      <c r="O77" s="6"/>
      <c r="P77" s="6">
        <f>IFERROR(VLOOKUP(F77,'9. Retirements'!$B$6:$C$57,2,FALSE),)</f>
        <v>-29880.9</v>
      </c>
      <c r="Q77" s="7">
        <f t="shared" si="47"/>
        <v>1209824.27</v>
      </c>
      <c r="R77" s="6">
        <f t="shared" si="48"/>
        <v>241965</v>
      </c>
      <c r="S77" s="6"/>
      <c r="U77" s="13"/>
    </row>
    <row r="78" spans="1:23">
      <c r="A78" s="5" t="str">
        <f>MID(F78,3,3)</f>
        <v>391</v>
      </c>
      <c r="B78" s="5" t="str">
        <f>MID(F78,6,2)</f>
        <v>NT</v>
      </c>
      <c r="C78" s="11" t="s">
        <v>73</v>
      </c>
      <c r="D78" s="437" t="str">
        <f>CONCATENATE(A78,".",B78,C78)</f>
        <v>391.NT00000</v>
      </c>
      <c r="E78" s="10"/>
      <c r="F78" s="5" t="s">
        <v>1003</v>
      </c>
      <c r="G78" s="12">
        <f>IFERROR(VLOOKUP($D78,'4. New Depr Rates'!$R$8:$W$69,2,FALSE),0)</f>
        <v>0.2</v>
      </c>
      <c r="H78" s="12">
        <f>IFERROR(VLOOKUP($D78,'4. New Depr Rates'!$R$8:$W$69,4,FALSE),0)</f>
        <v>0</v>
      </c>
      <c r="I78" s="12">
        <f>IFERROR(VLOOKUP($D78,'4. New Depr Rates'!$R$8:$W$69,6,FALSE),0)</f>
        <v>0.2</v>
      </c>
      <c r="J78" s="661">
        <f>IFERROR(VLOOKUP($F78,'1. BI Page 204-207'!$F$7:$L$148,7,FALSE),0)</f>
        <v>86633.36</v>
      </c>
      <c r="K78" s="6"/>
      <c r="L78" s="6"/>
      <c r="M78" s="6"/>
      <c r="N78" s="6"/>
      <c r="O78" s="6"/>
      <c r="P78" s="6">
        <f>IFERROR(VLOOKUP(F78,'9. Retirements'!$B$6:$C$57,2,FALSE),)</f>
        <v>0</v>
      </c>
      <c r="Q78" s="7">
        <f t="shared" si="47"/>
        <v>86633.36</v>
      </c>
      <c r="R78" s="6">
        <f t="shared" si="48"/>
        <v>17327</v>
      </c>
      <c r="S78" s="6"/>
      <c r="U78" s="13"/>
    </row>
    <row r="79" spans="1:23">
      <c r="A79" s="5" t="str">
        <f t="shared" si="44"/>
        <v>391</v>
      </c>
      <c r="B79" s="5" t="str">
        <f t="shared" si="45"/>
        <v>NT</v>
      </c>
      <c r="C79" s="11" t="s">
        <v>73</v>
      </c>
      <c r="D79" s="437" t="str">
        <f t="shared" si="46"/>
        <v>391.NT00000</v>
      </c>
      <c r="E79" s="10"/>
      <c r="F79" s="5" t="s">
        <v>1006</v>
      </c>
      <c r="G79" s="12">
        <f>IFERROR(VLOOKUP($D79,'4. New Depr Rates'!$R$8:$W$69,2,FALSE),0)</f>
        <v>0.2</v>
      </c>
      <c r="H79" s="12">
        <f>IFERROR(VLOOKUP($D79,'4. New Depr Rates'!$R$8:$W$69,4,FALSE),0)</f>
        <v>0</v>
      </c>
      <c r="I79" s="12">
        <f>IFERROR(VLOOKUP($D79,'4. New Depr Rates'!$R$8:$W$69,6,FALSE),0)</f>
        <v>0.2</v>
      </c>
      <c r="J79" s="661">
        <f>IFERROR(VLOOKUP($F79,'1. BI Page 204-207'!$F$7:$L$148,7,FALSE),0)</f>
        <v>422328.71</v>
      </c>
      <c r="K79" s="6"/>
      <c r="L79" s="6"/>
      <c r="M79" s="6"/>
      <c r="N79" s="6"/>
      <c r="O79" s="6"/>
      <c r="P79" s="6">
        <f>IFERROR(VLOOKUP(F79,'9. Retirements'!$B$6:$C$57,2,FALSE),)</f>
        <v>-9019.36</v>
      </c>
      <c r="Q79" s="7">
        <f t="shared" si="47"/>
        <v>413309.35000000003</v>
      </c>
      <c r="R79" s="6">
        <f t="shared" si="48"/>
        <v>82662</v>
      </c>
      <c r="S79" s="6"/>
      <c r="U79" s="13"/>
    </row>
    <row r="80" spans="1:23">
      <c r="A80" s="5" t="str">
        <f t="shared" si="44"/>
        <v>391</v>
      </c>
      <c r="B80" s="5" t="str">
        <f t="shared" si="45"/>
        <v>NT</v>
      </c>
      <c r="C80" s="11" t="s">
        <v>73</v>
      </c>
      <c r="D80" s="437" t="str">
        <f t="shared" si="46"/>
        <v>391.NT00000</v>
      </c>
      <c r="E80" s="10"/>
      <c r="F80" s="5" t="s">
        <v>1007</v>
      </c>
      <c r="G80" s="12">
        <f>IFERROR(VLOOKUP($D80,'4. New Depr Rates'!$R$8:$W$69,2,FALSE),0)</f>
        <v>0.2</v>
      </c>
      <c r="H80" s="12">
        <f>IFERROR(VLOOKUP($D80,'4. New Depr Rates'!$R$8:$W$69,4,FALSE),0)</f>
        <v>0</v>
      </c>
      <c r="I80" s="12">
        <f>IFERROR(VLOOKUP($D80,'4. New Depr Rates'!$R$8:$W$69,6,FALSE),0)</f>
        <v>0.2</v>
      </c>
      <c r="J80" s="661">
        <f>IFERROR(VLOOKUP($F80,'1. BI Page 204-207'!$F$7:$L$148,7,FALSE),0)</f>
        <v>95946.16</v>
      </c>
      <c r="K80" s="6"/>
      <c r="L80" s="6"/>
      <c r="M80" s="6"/>
      <c r="N80" s="6"/>
      <c r="O80" s="6"/>
      <c r="P80" s="6">
        <f>IFERROR(VLOOKUP(F80,'9. Retirements'!$B$6:$C$57,2,FALSE),)</f>
        <v>-6215.39</v>
      </c>
      <c r="Q80" s="7">
        <f t="shared" si="47"/>
        <v>89730.77</v>
      </c>
      <c r="R80" s="6">
        <f t="shared" si="48"/>
        <v>17946</v>
      </c>
      <c r="S80" s="6"/>
      <c r="U80" s="13"/>
    </row>
    <row r="81" spans="1:23">
      <c r="A81" s="5" t="str">
        <f t="shared" si="44"/>
        <v>391</v>
      </c>
      <c r="B81" s="5" t="str">
        <f t="shared" si="45"/>
        <v>OE</v>
      </c>
      <c r="C81" s="11" t="s">
        <v>73</v>
      </c>
      <c r="D81" s="437" t="str">
        <f t="shared" si="46"/>
        <v>391.OE00000</v>
      </c>
      <c r="E81" s="10"/>
      <c r="F81" s="5" t="s">
        <v>1009</v>
      </c>
      <c r="G81" s="12">
        <f>IFERROR(VLOOKUP($D81,'4. New Depr Rates'!$R$8:$W$69,2,FALSE),0)</f>
        <v>4.5499999999999999E-2</v>
      </c>
      <c r="H81" s="12">
        <f>IFERROR(VLOOKUP($D81,'4. New Depr Rates'!$R$8:$W$69,4,FALSE),0)</f>
        <v>0</v>
      </c>
      <c r="I81" s="12">
        <f>IFERROR(VLOOKUP($D81,'4. New Depr Rates'!$R$8:$W$69,6,FALSE),0)</f>
        <v>4.5499999999999999E-2</v>
      </c>
      <c r="J81" s="661">
        <f>IFERROR(VLOOKUP($F81,'1. BI Page 204-207'!$F$7:$L$148,7,FALSE),0)</f>
        <v>385209.71</v>
      </c>
      <c r="K81" s="6"/>
      <c r="L81" s="6"/>
      <c r="M81" s="6"/>
      <c r="N81" s="6"/>
      <c r="O81" s="6"/>
      <c r="P81" s="6">
        <f>IFERROR(VLOOKUP(F81,'9. Retirements'!$B$6:$C$57,2,FALSE),)</f>
        <v>-5170.1000000000004</v>
      </c>
      <c r="Q81" s="7">
        <f t="shared" si="47"/>
        <v>380039.61000000004</v>
      </c>
      <c r="R81" s="6">
        <f t="shared" si="48"/>
        <v>17292</v>
      </c>
      <c r="S81" s="6"/>
      <c r="U81" s="13"/>
    </row>
    <row r="82" spans="1:23">
      <c r="A82" s="5" t="str">
        <f t="shared" ref="A82:A88" si="49">MID(F82,3,3)</f>
        <v>391</v>
      </c>
      <c r="B82" s="5" t="str">
        <f t="shared" ref="B82:B88" si="50">MID(F82,6,2)</f>
        <v>OE</v>
      </c>
      <c r="C82" s="11" t="s">
        <v>73</v>
      </c>
      <c r="D82" s="437" t="str">
        <f t="shared" ref="D82:D88" si="51">CONCATENATE(A82,".",B82,C82)</f>
        <v>391.OE00000</v>
      </c>
      <c r="E82" s="10"/>
      <c r="F82" s="5" t="s">
        <v>1010</v>
      </c>
      <c r="G82" s="12">
        <f>IFERROR(VLOOKUP($D82,'4. New Depr Rates'!$R$8:$W$69,2,FALSE),0)</f>
        <v>4.5499999999999999E-2</v>
      </c>
      <c r="H82" s="12">
        <f>IFERROR(VLOOKUP($D82,'4. New Depr Rates'!$R$8:$W$69,4,FALSE),0)</f>
        <v>0</v>
      </c>
      <c r="I82" s="12">
        <f>IFERROR(VLOOKUP($D82,'4. New Depr Rates'!$R$8:$W$69,6,FALSE),0)</f>
        <v>4.5499999999999999E-2</v>
      </c>
      <c r="J82" s="661">
        <f>IFERROR(VLOOKUP($F82,'1. BI Page 204-207'!$F$7:$L$148,7,FALSE),0)</f>
        <v>559926.97</v>
      </c>
      <c r="K82" s="6"/>
      <c r="L82" s="6"/>
      <c r="M82" s="6"/>
      <c r="N82" s="6"/>
      <c r="O82" s="6"/>
      <c r="P82" s="6">
        <f>IFERROR(VLOOKUP(F82,'9. Retirements'!$B$6:$C$57,2,FALSE),)</f>
        <v>-37340.17</v>
      </c>
      <c r="Q82" s="7">
        <f t="shared" si="47"/>
        <v>522586.8</v>
      </c>
      <c r="R82" s="6">
        <f t="shared" si="48"/>
        <v>23778</v>
      </c>
      <c r="S82" s="6"/>
      <c r="U82" s="13"/>
    </row>
    <row r="83" spans="1:23">
      <c r="A83" s="5" t="str">
        <f t="shared" si="49"/>
        <v>391</v>
      </c>
      <c r="B83" s="5" t="str">
        <f t="shared" si="50"/>
        <v>OE</v>
      </c>
      <c r="C83" s="11" t="s">
        <v>73</v>
      </c>
      <c r="D83" s="437" t="str">
        <f t="shared" si="51"/>
        <v>391.OE00000</v>
      </c>
      <c r="E83" s="10"/>
      <c r="F83" s="5" t="s">
        <v>1011</v>
      </c>
      <c r="G83" s="12">
        <f>IFERROR(VLOOKUP($D83,'4. New Depr Rates'!$R$8:$W$69,2,FALSE),0)</f>
        <v>4.5499999999999999E-2</v>
      </c>
      <c r="H83" s="12">
        <f>IFERROR(VLOOKUP($D83,'4. New Depr Rates'!$R$8:$W$69,4,FALSE),0)</f>
        <v>0</v>
      </c>
      <c r="I83" s="12">
        <f>IFERROR(VLOOKUP($D83,'4. New Depr Rates'!$R$8:$W$69,6,FALSE),0)</f>
        <v>4.5499999999999999E-2</v>
      </c>
      <c r="J83" s="661">
        <f>IFERROR(VLOOKUP($F83,'1. BI Page 204-207'!$F$7:$L$148,7,FALSE),0)</f>
        <v>122210.62</v>
      </c>
      <c r="K83" s="6"/>
      <c r="L83" s="6"/>
      <c r="M83" s="6"/>
      <c r="N83" s="6"/>
      <c r="O83" s="6"/>
      <c r="P83" s="6">
        <f>IFERROR(VLOOKUP(F83,'9. Retirements'!$B$6:$C$57,2,FALSE),)</f>
        <v>0</v>
      </c>
      <c r="Q83" s="7">
        <f t="shared" si="47"/>
        <v>122210.62</v>
      </c>
      <c r="R83" s="6">
        <f t="shared" si="48"/>
        <v>5561</v>
      </c>
      <c r="S83" s="6"/>
      <c r="U83" s="13"/>
    </row>
    <row r="84" spans="1:23">
      <c r="A84" s="5" t="str">
        <f t="shared" si="49"/>
        <v>391</v>
      </c>
      <c r="B84" s="5" t="str">
        <f t="shared" si="50"/>
        <v>OE</v>
      </c>
      <c r="C84" s="11" t="s">
        <v>73</v>
      </c>
      <c r="D84" s="437" t="str">
        <f t="shared" si="51"/>
        <v>391.OE00000</v>
      </c>
      <c r="E84" s="10"/>
      <c r="F84" s="5" t="s">
        <v>1012</v>
      </c>
      <c r="G84" s="12">
        <f>IFERROR(VLOOKUP($D84,'4. New Depr Rates'!$R$8:$W$69,2,FALSE),0)</f>
        <v>4.5499999999999999E-2</v>
      </c>
      <c r="H84" s="12">
        <f>IFERROR(VLOOKUP($D84,'4. New Depr Rates'!$R$8:$W$69,4,FALSE),0)</f>
        <v>0</v>
      </c>
      <c r="I84" s="12">
        <f>IFERROR(VLOOKUP($D84,'4. New Depr Rates'!$R$8:$W$69,6,FALSE),0)</f>
        <v>4.5499999999999999E-2</v>
      </c>
      <c r="J84" s="661">
        <f>IFERROR(VLOOKUP($F84,'1. BI Page 204-207'!$F$7:$L$148,7,FALSE),0)</f>
        <v>2857.81</v>
      </c>
      <c r="K84" s="6"/>
      <c r="L84" s="6"/>
      <c r="M84" s="6"/>
      <c r="N84" s="6"/>
      <c r="O84" s="6"/>
      <c r="P84" s="6">
        <f>IFERROR(VLOOKUP(F84,'9. Retirements'!$B$6:$C$57,2,FALSE),)</f>
        <v>-2857.81</v>
      </c>
      <c r="Q84" s="7">
        <f t="shared" si="47"/>
        <v>0</v>
      </c>
      <c r="R84" s="6">
        <f t="shared" si="48"/>
        <v>0</v>
      </c>
      <c r="S84" s="6"/>
      <c r="U84" s="13"/>
    </row>
    <row r="85" spans="1:23">
      <c r="A85" s="5" t="str">
        <f t="shared" si="49"/>
        <v>391</v>
      </c>
      <c r="B85" s="5" t="str">
        <f t="shared" si="50"/>
        <v>OE</v>
      </c>
      <c r="C85" s="11" t="s">
        <v>73</v>
      </c>
      <c r="D85" s="437" t="str">
        <f t="shared" si="51"/>
        <v>391.OE00000</v>
      </c>
      <c r="E85" s="10"/>
      <c r="F85" s="5" t="s">
        <v>1013</v>
      </c>
      <c r="G85" s="12">
        <f>IFERROR(VLOOKUP($D85,'4. New Depr Rates'!$R$8:$W$69,2,FALSE),0)</f>
        <v>4.5499999999999999E-2</v>
      </c>
      <c r="H85" s="12">
        <f>IFERROR(VLOOKUP($D85,'4. New Depr Rates'!$R$8:$W$69,4,FALSE),0)</f>
        <v>0</v>
      </c>
      <c r="I85" s="12">
        <f>IFERROR(VLOOKUP($D85,'4. New Depr Rates'!$R$8:$W$69,6,FALSE),0)</f>
        <v>4.5499999999999999E-2</v>
      </c>
      <c r="J85" s="661">
        <f>IFERROR(VLOOKUP($F85,'1. BI Page 204-207'!$F$7:$L$148,7,FALSE),0)</f>
        <v>29693.61</v>
      </c>
      <c r="K85" s="6"/>
      <c r="L85" s="6"/>
      <c r="M85" s="6"/>
      <c r="N85" s="6"/>
      <c r="O85" s="6"/>
      <c r="P85" s="6">
        <f>IFERROR(VLOOKUP(F85,'9. Retirements'!$B$6:$C$57,2,FALSE),)</f>
        <v>-3423.63</v>
      </c>
      <c r="Q85" s="7">
        <f t="shared" si="47"/>
        <v>26269.98</v>
      </c>
      <c r="R85" s="6">
        <f t="shared" si="48"/>
        <v>1195</v>
      </c>
      <c r="S85" s="6"/>
      <c r="U85" s="13"/>
    </row>
    <row r="86" spans="1:23">
      <c r="A86" s="5" t="str">
        <f t="shared" si="49"/>
        <v>391</v>
      </c>
      <c r="B86" s="5" t="str">
        <f t="shared" si="50"/>
        <v>OE</v>
      </c>
      <c r="C86" s="11" t="s">
        <v>73</v>
      </c>
      <c r="D86" s="437" t="str">
        <f t="shared" si="51"/>
        <v>391.OE00000</v>
      </c>
      <c r="E86" s="10"/>
      <c r="F86" s="5" t="s">
        <v>1014</v>
      </c>
      <c r="G86" s="12">
        <f>IFERROR(VLOOKUP($D86,'4. New Depr Rates'!$R$8:$W$69,2,FALSE),0)</f>
        <v>4.5499999999999999E-2</v>
      </c>
      <c r="H86" s="12">
        <f>IFERROR(VLOOKUP($D86,'4. New Depr Rates'!$R$8:$W$69,4,FALSE),0)</f>
        <v>0</v>
      </c>
      <c r="I86" s="12">
        <f>IFERROR(VLOOKUP($D86,'4. New Depr Rates'!$R$8:$W$69,6,FALSE),0)</f>
        <v>4.5499999999999999E-2</v>
      </c>
      <c r="J86" s="661">
        <f>IFERROR(VLOOKUP($F86,'1. BI Page 204-207'!$F$7:$L$148,7,FALSE),0)</f>
        <v>539248.73</v>
      </c>
      <c r="K86" s="439">
        <f>'2. Post Test Year_Pivot'!E17</f>
        <v>33810</v>
      </c>
      <c r="L86" s="6"/>
      <c r="M86" s="6"/>
      <c r="N86" s="6"/>
      <c r="O86" s="6"/>
      <c r="P86" s="6">
        <f>IFERROR(VLOOKUP(F86,'9. Retirements'!$B$6:$C$57,2,FALSE),)</f>
        <v>-5133.72</v>
      </c>
      <c r="Q86" s="7">
        <f t="shared" si="47"/>
        <v>567925.01</v>
      </c>
      <c r="R86" s="6">
        <f t="shared" si="48"/>
        <v>25841</v>
      </c>
      <c r="S86" s="6"/>
      <c r="U86" s="13"/>
    </row>
    <row r="87" spans="1:23">
      <c r="A87" s="5" t="str">
        <f t="shared" si="49"/>
        <v>391</v>
      </c>
      <c r="B87" s="5" t="str">
        <f t="shared" si="50"/>
        <v>OE</v>
      </c>
      <c r="C87" s="11" t="s">
        <v>73</v>
      </c>
      <c r="D87" s="437" t="str">
        <f t="shared" si="51"/>
        <v>391.OE00000</v>
      </c>
      <c r="E87" s="10"/>
      <c r="F87" s="5" t="s">
        <v>1015</v>
      </c>
      <c r="G87" s="12">
        <f>IFERROR(VLOOKUP($D87,'4. New Depr Rates'!$R$8:$W$69,2,FALSE),0)</f>
        <v>4.5499999999999999E-2</v>
      </c>
      <c r="H87" s="12">
        <f>IFERROR(VLOOKUP($D87,'4. New Depr Rates'!$R$8:$W$69,4,FALSE),0)</f>
        <v>0</v>
      </c>
      <c r="I87" s="12">
        <f>IFERROR(VLOOKUP($D87,'4. New Depr Rates'!$R$8:$W$69,6,FALSE),0)</f>
        <v>4.5499999999999999E-2</v>
      </c>
      <c r="J87" s="661">
        <f>IFERROR(VLOOKUP($F87,'1. BI Page 204-207'!$F$7:$L$148,7,FALSE),0)</f>
        <v>4269.74</v>
      </c>
      <c r="K87" s="6"/>
      <c r="L87" s="6"/>
      <c r="M87" s="6"/>
      <c r="N87" s="6"/>
      <c r="O87" s="6"/>
      <c r="P87" s="6">
        <f>IFERROR(VLOOKUP(F87,'9. Retirements'!$B$6:$C$57,2,FALSE),)</f>
        <v>-1387.47</v>
      </c>
      <c r="Q87" s="7">
        <f t="shared" si="47"/>
        <v>2882.2699999999995</v>
      </c>
      <c r="R87" s="6">
        <f t="shared" si="48"/>
        <v>131</v>
      </c>
      <c r="S87" s="6"/>
      <c r="U87" s="13"/>
    </row>
    <row r="88" spans="1:23">
      <c r="A88" s="5" t="str">
        <f t="shared" si="49"/>
        <v>391</v>
      </c>
      <c r="B88" s="5" t="str">
        <f t="shared" si="50"/>
        <v>OE</v>
      </c>
      <c r="C88" s="11" t="s">
        <v>73</v>
      </c>
      <c r="D88" s="437" t="str">
        <f t="shared" si="51"/>
        <v>391.OE00000</v>
      </c>
      <c r="E88" s="10"/>
      <c r="F88" s="5" t="s">
        <v>1016</v>
      </c>
      <c r="G88" s="12">
        <f>IFERROR(VLOOKUP($D88,'4. New Depr Rates'!$R$8:$W$69,2,FALSE),0)</f>
        <v>4.5499999999999999E-2</v>
      </c>
      <c r="H88" s="12">
        <f>IFERROR(VLOOKUP($D88,'4. New Depr Rates'!$R$8:$W$69,4,FALSE),0)</f>
        <v>0</v>
      </c>
      <c r="I88" s="12">
        <f>IFERROR(VLOOKUP($D88,'4. New Depr Rates'!$R$8:$W$69,6,FALSE),0)</f>
        <v>4.5499999999999999E-2</v>
      </c>
      <c r="J88" s="661">
        <f>IFERROR(VLOOKUP($F88,'1. BI Page 204-207'!$F$7:$L$148,7,FALSE),0)</f>
        <v>88184.51</v>
      </c>
      <c r="K88" s="6"/>
      <c r="L88" s="6"/>
      <c r="M88" s="6"/>
      <c r="N88" s="6"/>
      <c r="O88" s="6"/>
      <c r="P88" s="6">
        <f>IFERROR(VLOOKUP(F88,'9. Retirements'!$B$6:$C$57,2,FALSE),)</f>
        <v>0</v>
      </c>
      <c r="Q88" s="7">
        <f t="shared" si="47"/>
        <v>88184.51</v>
      </c>
      <c r="R88" s="6">
        <f t="shared" si="48"/>
        <v>4012</v>
      </c>
      <c r="S88" s="6"/>
      <c r="U88" s="13"/>
    </row>
    <row r="89" spans="1:23">
      <c r="A89" s="8"/>
      <c r="B89" s="8"/>
      <c r="C89" s="8"/>
      <c r="D89" s="8"/>
      <c r="E89" s="8" t="s">
        <v>925</v>
      </c>
      <c r="F89" s="8" t="str">
        <f>MID(E89,2,3)</f>
        <v>391</v>
      </c>
      <c r="G89" s="8"/>
      <c r="H89" s="8"/>
      <c r="I89" s="8"/>
      <c r="J89" s="293">
        <f t="shared" ref="J89:R89" si="52">SUM(J75:J88)</f>
        <v>5019962.9700000007</v>
      </c>
      <c r="K89" s="293">
        <f t="shared" si="52"/>
        <v>141537</v>
      </c>
      <c r="L89" s="293">
        <f t="shared" si="52"/>
        <v>0</v>
      </c>
      <c r="M89" s="293">
        <f t="shared" si="52"/>
        <v>0</v>
      </c>
      <c r="N89" s="293">
        <f t="shared" si="52"/>
        <v>0</v>
      </c>
      <c r="O89" s="293">
        <f t="shared" si="52"/>
        <v>0</v>
      </c>
      <c r="P89" s="293">
        <f t="shared" si="52"/>
        <v>-218060.90000000002</v>
      </c>
      <c r="Q89" s="293">
        <f t="shared" si="52"/>
        <v>4943439.0699999994</v>
      </c>
      <c r="R89" s="293">
        <f t="shared" si="52"/>
        <v>724478</v>
      </c>
      <c r="S89" s="292">
        <f>'3. Depreciation Expense Dtl'!O39</f>
        <v>744519</v>
      </c>
      <c r="T89" s="292">
        <f>R89-S89</f>
        <v>-20041</v>
      </c>
      <c r="U89" s="13" t="s">
        <v>1220</v>
      </c>
      <c r="V89" s="669" t="str">
        <f>LEFT(E89,4)</f>
        <v>G391</v>
      </c>
      <c r="W89" s="672">
        <f>'3. Depreciation Expense Dtl'!E39+'3. Depreciation Expense Dtl'!L39</f>
        <v>0</v>
      </c>
    </row>
    <row r="90" spans="1:23">
      <c r="A90" s="5" t="str">
        <f>MID(F90,3,3)</f>
        <v>392</v>
      </c>
      <c r="B90" s="5" t="str">
        <f>MID(F90,6,2)</f>
        <v>C1</v>
      </c>
      <c r="C90" s="11" t="s">
        <v>73</v>
      </c>
      <c r="D90" s="5" t="str">
        <f t="shared" ref="D90:D96" si="53">CONCATENATE(A90,".",B90,C90)</f>
        <v>392.C100000</v>
      </c>
      <c r="E90" s="10" t="s">
        <v>926</v>
      </c>
      <c r="F90" s="5" t="s">
        <v>928</v>
      </c>
      <c r="G90" s="12">
        <f>IFERROR(VLOOKUP($D90,'4. New Depr Rates'!$R$8:$W$69,2,FALSE),0)</f>
        <v>4.0999999999999995E-2</v>
      </c>
      <c r="H90" s="12">
        <f>IFERROR(VLOOKUP($D90,'4. New Depr Rates'!$R$8:$W$69,4,FALSE),0)</f>
        <v>-5.5999999999999965E-3</v>
      </c>
      <c r="I90" s="12">
        <f>IFERROR(VLOOKUP($D90,'4. New Depr Rates'!$R$8:$W$69,6,FALSE),0)</f>
        <v>3.5400000000000001E-2</v>
      </c>
      <c r="J90" s="661">
        <f>IFERROR(VLOOKUP($F90,'1. BI Page 204-207'!$F$7:$L$148,7,FALSE),0)</f>
        <v>3757939.24</v>
      </c>
      <c r="K90" s="6"/>
      <c r="L90" s="6"/>
      <c r="M90" s="6"/>
      <c r="N90" s="6"/>
      <c r="O90" s="6"/>
      <c r="P90" s="6">
        <f>IFERROR(VLOOKUP(F90,'9. Retirements'!$B$6:$C$57,2,FALSE),)</f>
        <v>-82729.100000000006</v>
      </c>
      <c r="Q90" s="7">
        <f t="shared" ref="Q90:Q96" si="54">SUM(J90:P90)</f>
        <v>3675210.14</v>
      </c>
      <c r="R90" s="230">
        <v>0</v>
      </c>
      <c r="S90" s="6"/>
      <c r="U90" s="13"/>
    </row>
    <row r="91" spans="1:23">
      <c r="A91" s="5" t="str">
        <f t="shared" ref="A91:A96" si="55">MID(F91,3,3)</f>
        <v>392</v>
      </c>
      <c r="B91" s="5" t="str">
        <f t="shared" ref="B91:B96" si="56">MID(F91,6,2)</f>
        <v>C2</v>
      </c>
      <c r="C91" s="11" t="s">
        <v>73</v>
      </c>
      <c r="D91" s="5" t="str">
        <f t="shared" si="53"/>
        <v>392.C200000</v>
      </c>
      <c r="E91" s="10"/>
      <c r="F91" s="5" t="s">
        <v>929</v>
      </c>
      <c r="G91" s="12">
        <f>IFERROR(VLOOKUP($D91,'4. New Depr Rates'!$R$8:$W$69,2,FALSE),0)</f>
        <v>6.1799999999999994E-2</v>
      </c>
      <c r="H91" s="12">
        <f>IFERROR(VLOOKUP($D91,'4. New Depr Rates'!$R$8:$W$69,4,FALSE),0)</f>
        <v>-4.8999999999999929E-3</v>
      </c>
      <c r="I91" s="12">
        <f>IFERROR(VLOOKUP($D91,'4. New Depr Rates'!$R$8:$W$69,6,FALSE),0)</f>
        <v>5.6899999999999999E-2</v>
      </c>
      <c r="J91" s="661">
        <f>IFERROR(VLOOKUP($F91,'1. BI Page 204-207'!$F$7:$L$148,7,FALSE),0)</f>
        <v>2392514.87</v>
      </c>
      <c r="K91" s="6"/>
      <c r="L91" s="6"/>
      <c r="M91" s="6"/>
      <c r="N91" s="6"/>
      <c r="O91" s="6"/>
      <c r="P91" s="6">
        <f>IFERROR(VLOOKUP(F91,'9. Retirements'!$B$6:$C$57,2,FALSE),)</f>
        <v>-59210.19</v>
      </c>
      <c r="Q91" s="7">
        <f t="shared" si="54"/>
        <v>2333304.6800000002</v>
      </c>
      <c r="R91" s="230">
        <v>0</v>
      </c>
      <c r="S91" s="6"/>
      <c r="U91" s="13"/>
    </row>
    <row r="92" spans="1:23">
      <c r="A92" s="5" t="str">
        <f t="shared" si="55"/>
        <v>392</v>
      </c>
      <c r="B92" s="5" t="str">
        <f t="shared" si="56"/>
        <v>C3</v>
      </c>
      <c r="C92" s="11" t="s">
        <v>73</v>
      </c>
      <c r="D92" s="5" t="str">
        <f t="shared" si="53"/>
        <v>392.C300000</v>
      </c>
      <c r="E92" s="10"/>
      <c r="F92" s="5" t="s">
        <v>930</v>
      </c>
      <c r="G92" s="12">
        <f>IFERROR(VLOOKUP($D92,'4. New Depr Rates'!$R$8:$W$69,2,FALSE),0)</f>
        <v>3.8199999999999998E-2</v>
      </c>
      <c r="H92" s="12">
        <f>IFERROR(VLOOKUP($D92,'4. New Depr Rates'!$R$8:$W$69,4,FALSE),0)</f>
        <v>-3.5999999999999986E-3</v>
      </c>
      <c r="I92" s="12">
        <f>IFERROR(VLOOKUP($D92,'4. New Depr Rates'!$R$8:$W$69,6,FALSE),0)</f>
        <v>3.4599999999999999E-2</v>
      </c>
      <c r="J92" s="661">
        <f>IFERROR(VLOOKUP($F92,'1. BI Page 204-207'!$F$7:$L$148,7,FALSE),0)</f>
        <v>4901352.42</v>
      </c>
      <c r="K92" s="439">
        <f>'2. Post Test Year_Pivot'!E18</f>
        <v>654798</v>
      </c>
      <c r="L92" s="6"/>
      <c r="M92" s="6"/>
      <c r="N92" s="6"/>
      <c r="O92" s="6"/>
      <c r="P92" s="6">
        <f>IFERROR(VLOOKUP(F92,'9. Retirements'!$B$6:$C$57,2,FALSE),)</f>
        <v>-87884.95</v>
      </c>
      <c r="Q92" s="7">
        <f t="shared" si="54"/>
        <v>5468265.4699999997</v>
      </c>
      <c r="R92" s="230">
        <v>0</v>
      </c>
      <c r="S92" s="6"/>
      <c r="U92" s="13"/>
    </row>
    <row r="93" spans="1:23">
      <c r="A93" s="5" t="str">
        <f t="shared" si="55"/>
        <v>392</v>
      </c>
      <c r="B93" s="5" t="str">
        <f t="shared" si="56"/>
        <v>C5</v>
      </c>
      <c r="C93" s="11" t="s">
        <v>73</v>
      </c>
      <c r="D93" s="5" t="str">
        <f t="shared" si="53"/>
        <v>392.C500000</v>
      </c>
      <c r="E93" s="10"/>
      <c r="F93" s="5" t="s">
        <v>931</v>
      </c>
      <c r="G93" s="12">
        <f>IFERROR(VLOOKUP($D93,'4. New Depr Rates'!$R$8:$W$69,2,FALSE),0)</f>
        <v>-4.4000000000000003E-3</v>
      </c>
      <c r="H93" s="12">
        <f>IFERROR(VLOOKUP($D93,'4. New Depr Rates'!$R$8:$W$69,4,FALSE),0)</f>
        <v>3.999999999999998E-4</v>
      </c>
      <c r="I93" s="12">
        <f>IFERROR(VLOOKUP($D93,'4. New Depr Rates'!$R$8:$W$69,6,FALSE),0)</f>
        <v>-4.0000000000000001E-3</v>
      </c>
      <c r="J93" s="661">
        <f>IFERROR(VLOOKUP($F93,'1. BI Page 204-207'!$F$7:$L$148,7,FALSE),0)</f>
        <v>520759.83</v>
      </c>
      <c r="K93" s="6"/>
      <c r="L93" s="6"/>
      <c r="M93" s="6"/>
      <c r="N93" s="6"/>
      <c r="O93" s="6"/>
      <c r="P93" s="6">
        <f>IFERROR(VLOOKUP(F93,'9. Retirements'!$B$6:$C$57,2,FALSE),)</f>
        <v>0</v>
      </c>
      <c r="Q93" s="7">
        <f t="shared" si="54"/>
        <v>520759.83</v>
      </c>
      <c r="R93" s="230">
        <v>0</v>
      </c>
      <c r="S93" s="6"/>
      <c r="U93" s="13"/>
    </row>
    <row r="94" spans="1:23">
      <c r="A94" s="5" t="str">
        <f t="shared" si="55"/>
        <v>392</v>
      </c>
      <c r="B94" s="5" t="str">
        <f t="shared" si="56"/>
        <v>C6</v>
      </c>
      <c r="C94" s="11" t="s">
        <v>73</v>
      </c>
      <c r="D94" s="5" t="str">
        <f t="shared" si="53"/>
        <v>392.C600000</v>
      </c>
      <c r="E94" s="10"/>
      <c r="F94" s="5" t="s">
        <v>932</v>
      </c>
      <c r="G94" s="12">
        <f>IFERROR(VLOOKUP($D94,'4. New Depr Rates'!$R$8:$W$69,2,FALSE),0)</f>
        <v>-0.11259999999999999</v>
      </c>
      <c r="H94" s="12">
        <f>IFERROR(VLOOKUP($D94,'4. New Depr Rates'!$R$8:$W$69,4,FALSE),0)</f>
        <v>1.1299999999999991E-2</v>
      </c>
      <c r="I94" s="12">
        <f>IFERROR(VLOOKUP($D94,'4. New Depr Rates'!$R$8:$W$69,6,FALSE),0)</f>
        <v>-0.1013</v>
      </c>
      <c r="J94" s="661">
        <f>IFERROR(VLOOKUP($F94,'1. BI Page 204-207'!$F$7:$L$148,7,FALSE),0)</f>
        <v>127360.65</v>
      </c>
      <c r="K94" s="6"/>
      <c r="L94" s="6"/>
      <c r="M94" s="6"/>
      <c r="N94" s="6"/>
      <c r="O94" s="6"/>
      <c r="P94" s="6">
        <f>IFERROR(VLOOKUP(F94,'9. Retirements'!$B$6:$C$57,2,FALSE),)</f>
        <v>0</v>
      </c>
      <c r="Q94" s="7">
        <f t="shared" si="54"/>
        <v>127360.65</v>
      </c>
      <c r="R94" s="230">
        <v>0</v>
      </c>
      <c r="S94" s="6"/>
      <c r="U94" s="13"/>
    </row>
    <row r="95" spans="1:23">
      <c r="A95" s="5" t="str">
        <f t="shared" si="55"/>
        <v>392</v>
      </c>
      <c r="B95" s="5" t="str">
        <f t="shared" si="56"/>
        <v>C7</v>
      </c>
      <c r="C95" s="11" t="s">
        <v>73</v>
      </c>
      <c r="D95" s="5" t="str">
        <f t="shared" si="53"/>
        <v>392.C700000</v>
      </c>
      <c r="E95" s="10"/>
      <c r="F95" s="5" t="s">
        <v>933</v>
      </c>
      <c r="G95" s="12">
        <f>IFERROR(VLOOKUP($D95,'4. New Depr Rates'!$R$8:$W$69,2,FALSE),0)</f>
        <v>-8.2200000000000009E-2</v>
      </c>
      <c r="H95" s="12">
        <f>IFERROR(VLOOKUP($D95,'4. New Depr Rates'!$R$8:$W$69,4,FALSE),0)</f>
        <v>1.2100000000000008E-2</v>
      </c>
      <c r="I95" s="12">
        <f>IFERROR(VLOOKUP($D95,'4. New Depr Rates'!$R$8:$W$69,6,FALSE),0)</f>
        <v>-7.0099999999999996E-2</v>
      </c>
      <c r="J95" s="661">
        <f>IFERROR(VLOOKUP($F95,'1. BI Page 204-207'!$F$7:$L$148,7,FALSE),0)</f>
        <v>4776931.71</v>
      </c>
      <c r="K95" s="6"/>
      <c r="L95" s="6"/>
      <c r="M95" s="6"/>
      <c r="N95" s="6"/>
      <c r="O95" s="6"/>
      <c r="P95" s="6">
        <f>IFERROR(VLOOKUP(F95,'9. Retirements'!$B$6:$C$57,2,FALSE),)</f>
        <v>-25697.21</v>
      </c>
      <c r="Q95" s="7">
        <f t="shared" si="54"/>
        <v>4751234.5</v>
      </c>
      <c r="R95" s="230">
        <v>0</v>
      </c>
      <c r="S95" s="6"/>
      <c r="U95" s="13"/>
    </row>
    <row r="96" spans="1:23">
      <c r="A96" s="5" t="str">
        <f t="shared" si="55"/>
        <v>392</v>
      </c>
      <c r="B96" s="5" t="str">
        <f t="shared" si="56"/>
        <v>C9</v>
      </c>
      <c r="C96" s="11" t="s">
        <v>73</v>
      </c>
      <c r="D96" s="5" t="str">
        <f t="shared" si="53"/>
        <v>392.C900000</v>
      </c>
      <c r="E96" s="10"/>
      <c r="F96" s="5" t="s">
        <v>934</v>
      </c>
      <c r="G96" s="12">
        <f>IFERROR(VLOOKUP($D96,'4. New Depr Rates'!$R$8:$W$69,2,FALSE),0)</f>
        <v>1.47E-2</v>
      </c>
      <c r="H96" s="12">
        <f>IFERROR(VLOOKUP($D96,'4. New Depr Rates'!$R$8:$W$69,4,FALSE),0)</f>
        <v>-1.0000000000000009E-4</v>
      </c>
      <c r="I96" s="12">
        <f>IFERROR(VLOOKUP($D96,'4. New Depr Rates'!$R$8:$W$69,6,FALSE),0)</f>
        <v>1.46E-2</v>
      </c>
      <c r="J96" s="661">
        <f>IFERROR(VLOOKUP($F96,'1. BI Page 204-207'!$F$7:$L$148,7,FALSE),0)</f>
        <v>2926093.83</v>
      </c>
      <c r="K96" s="6"/>
      <c r="L96" s="6"/>
      <c r="M96" s="6"/>
      <c r="N96" s="6"/>
      <c r="O96" s="6"/>
      <c r="P96" s="6">
        <f>IFERROR(VLOOKUP(F96,'9. Retirements'!$B$6:$C$57,2,FALSE),)</f>
        <v>-11961.11</v>
      </c>
      <c r="Q96" s="7">
        <f t="shared" si="54"/>
        <v>2914132.72</v>
      </c>
      <c r="R96" s="230">
        <v>0</v>
      </c>
      <c r="S96" s="6"/>
      <c r="U96" s="13"/>
    </row>
    <row r="97" spans="1:23">
      <c r="A97" s="8"/>
      <c r="B97" s="8"/>
      <c r="C97" s="8"/>
      <c r="D97" s="8"/>
      <c r="E97" s="8" t="s">
        <v>927</v>
      </c>
      <c r="F97" s="8" t="str">
        <f>MID(E97,2,3)</f>
        <v>392</v>
      </c>
      <c r="G97" s="8"/>
      <c r="H97" s="8"/>
      <c r="I97" s="8"/>
      <c r="J97" s="293">
        <f t="shared" ref="J97:R97" si="57">SUM(J90:J96)</f>
        <v>19402952.550000004</v>
      </c>
      <c r="K97" s="293">
        <f t="shared" si="57"/>
        <v>654798</v>
      </c>
      <c r="L97" s="293">
        <f t="shared" si="57"/>
        <v>0</v>
      </c>
      <c r="M97" s="293">
        <f t="shared" si="57"/>
        <v>0</v>
      </c>
      <c r="N97" s="293">
        <f t="shared" si="57"/>
        <v>0</v>
      </c>
      <c r="O97" s="293">
        <f t="shared" si="57"/>
        <v>0</v>
      </c>
      <c r="P97" s="293">
        <f t="shared" si="57"/>
        <v>-267482.56</v>
      </c>
      <c r="Q97" s="293">
        <f t="shared" si="57"/>
        <v>19790267.989999998</v>
      </c>
      <c r="R97" s="293">
        <f t="shared" si="57"/>
        <v>0</v>
      </c>
      <c r="S97" s="292"/>
      <c r="T97" s="292">
        <f>R97-S97</f>
        <v>0</v>
      </c>
      <c r="U97" s="13"/>
    </row>
    <row r="98" spans="1:23">
      <c r="A98" s="5" t="str">
        <f t="shared" ref="A98:A104" si="58">MID(F98,3,3)</f>
        <v>393</v>
      </c>
      <c r="C98" s="11" t="s">
        <v>73</v>
      </c>
      <c r="D98" s="437" t="str">
        <f t="shared" ref="D98:D104" si="59">CONCATENATE(A98,C98)</f>
        <v>39300000</v>
      </c>
      <c r="E98" s="10" t="s">
        <v>935</v>
      </c>
      <c r="F98" s="5" t="s">
        <v>938</v>
      </c>
      <c r="G98" s="12">
        <f>IFERROR(VLOOKUP($D98,'4. New Depr Rates'!$R$8:$W$69,2,FALSE),0)</f>
        <v>2.86E-2</v>
      </c>
      <c r="H98" s="12">
        <f>IFERROR(VLOOKUP($D98,'4. New Depr Rates'!$R$8:$W$69,4,FALSE),0)</f>
        <v>0</v>
      </c>
      <c r="I98" s="12">
        <f>IFERROR(VLOOKUP($D98,'4. New Depr Rates'!$R$8:$W$69,6,FALSE),0)</f>
        <v>2.86E-2</v>
      </c>
      <c r="J98" s="661">
        <f>IFERROR(VLOOKUP($F98,'1. BI Page 204-207'!$F$7:$L$148,7,FALSE),0)</f>
        <v>77768.45</v>
      </c>
      <c r="K98" s="6"/>
      <c r="L98" s="6"/>
      <c r="M98" s="6"/>
      <c r="N98" s="6"/>
      <c r="O98" s="6"/>
      <c r="P98" s="6">
        <f>IFERROR(VLOOKUP(F98,'9. Retirements'!$B$6:$C$57,2,FALSE),)</f>
        <v>0</v>
      </c>
      <c r="Q98" s="7">
        <f t="shared" ref="Q98:Q104" si="60">SUM(J98:P98)</f>
        <v>77768.45</v>
      </c>
      <c r="R98" s="6">
        <f t="shared" ref="R98:R143" si="61">ROUND(Q98*I98,0)</f>
        <v>2224</v>
      </c>
      <c r="S98" s="6"/>
      <c r="U98" s="13"/>
    </row>
    <row r="99" spans="1:23">
      <c r="A99" s="5" t="str">
        <f t="shared" si="58"/>
        <v>393</v>
      </c>
      <c r="C99" s="11" t="s">
        <v>73</v>
      </c>
      <c r="D99" s="437" t="str">
        <f t="shared" si="59"/>
        <v>39300000</v>
      </c>
      <c r="E99" s="10"/>
      <c r="F99" s="5" t="s">
        <v>939</v>
      </c>
      <c r="G99" s="12">
        <f>IFERROR(VLOOKUP($D99,'4. New Depr Rates'!$R$8:$W$69,2,FALSE),0)</f>
        <v>2.86E-2</v>
      </c>
      <c r="H99" s="12">
        <f>IFERROR(VLOOKUP($D99,'4. New Depr Rates'!$R$8:$W$69,4,FALSE),0)</f>
        <v>0</v>
      </c>
      <c r="I99" s="12">
        <f>IFERROR(VLOOKUP($D99,'4. New Depr Rates'!$R$8:$W$69,6,FALSE),0)</f>
        <v>2.86E-2</v>
      </c>
      <c r="J99" s="661">
        <f>IFERROR(VLOOKUP($F99,'1. BI Page 204-207'!$F$7:$L$148,7,FALSE),0)</f>
        <v>115551.84</v>
      </c>
      <c r="K99" s="6"/>
      <c r="L99" s="6"/>
      <c r="M99" s="6"/>
      <c r="N99" s="6"/>
      <c r="O99" s="6"/>
      <c r="P99" s="6">
        <f>IFERROR(VLOOKUP(F99,'9. Retirements'!$B$6:$C$57,2,FALSE),)</f>
        <v>-2145.16</v>
      </c>
      <c r="Q99" s="7">
        <f t="shared" si="60"/>
        <v>113406.68</v>
      </c>
      <c r="R99" s="6">
        <f t="shared" si="61"/>
        <v>3243</v>
      </c>
      <c r="S99" s="6"/>
      <c r="U99" s="13"/>
    </row>
    <row r="100" spans="1:23">
      <c r="A100" s="5" t="str">
        <f t="shared" si="58"/>
        <v>393</v>
      </c>
      <c r="C100" s="11" t="s">
        <v>73</v>
      </c>
      <c r="D100" s="437" t="str">
        <f t="shared" si="59"/>
        <v>39300000</v>
      </c>
      <c r="E100" s="10"/>
      <c r="F100" s="5" t="s">
        <v>940</v>
      </c>
      <c r="G100" s="12">
        <f>IFERROR(VLOOKUP($D100,'4. New Depr Rates'!$R$8:$W$69,2,FALSE),0)</f>
        <v>2.86E-2</v>
      </c>
      <c r="H100" s="12">
        <f>IFERROR(VLOOKUP($D100,'4. New Depr Rates'!$R$8:$W$69,4,FALSE),0)</f>
        <v>0</v>
      </c>
      <c r="I100" s="12">
        <f>IFERROR(VLOOKUP($D100,'4. New Depr Rates'!$R$8:$W$69,6,FALSE),0)</f>
        <v>2.86E-2</v>
      </c>
      <c r="J100" s="661">
        <f>IFERROR(VLOOKUP($F100,'1. BI Page 204-207'!$F$7:$L$148,7,FALSE),0)</f>
        <v>16204.97</v>
      </c>
      <c r="K100" s="6"/>
      <c r="L100" s="6"/>
      <c r="M100" s="6"/>
      <c r="N100" s="6"/>
      <c r="O100" s="6"/>
      <c r="P100" s="6">
        <f>IFERROR(VLOOKUP(F100,'9. Retirements'!$B$6:$C$57,2,FALSE),)</f>
        <v>0</v>
      </c>
      <c r="Q100" s="7">
        <f t="shared" si="60"/>
        <v>16204.97</v>
      </c>
      <c r="R100" s="6">
        <f t="shared" si="61"/>
        <v>463</v>
      </c>
      <c r="S100" s="6"/>
      <c r="U100" s="13"/>
    </row>
    <row r="101" spans="1:23">
      <c r="A101" s="5" t="str">
        <f t="shared" si="58"/>
        <v>393</v>
      </c>
      <c r="C101" s="11" t="s">
        <v>73</v>
      </c>
      <c r="D101" s="437" t="str">
        <f t="shared" si="59"/>
        <v>39300000</v>
      </c>
      <c r="E101" s="10"/>
      <c r="F101" s="5" t="s">
        <v>941</v>
      </c>
      <c r="G101" s="12">
        <f>IFERROR(VLOOKUP($D101,'4. New Depr Rates'!$R$8:$W$69,2,FALSE),0)</f>
        <v>2.86E-2</v>
      </c>
      <c r="H101" s="12">
        <f>IFERROR(VLOOKUP($D101,'4. New Depr Rates'!$R$8:$W$69,4,FALSE),0)</f>
        <v>0</v>
      </c>
      <c r="I101" s="12">
        <f>IFERROR(VLOOKUP($D101,'4. New Depr Rates'!$R$8:$W$69,6,FALSE),0)</f>
        <v>2.86E-2</v>
      </c>
      <c r="J101" s="661">
        <f>IFERROR(VLOOKUP($F101,'1. BI Page 204-207'!$F$7:$L$148,7,FALSE),0)</f>
        <v>37172.97</v>
      </c>
      <c r="K101" s="6"/>
      <c r="L101" s="6"/>
      <c r="M101" s="6"/>
      <c r="N101" s="6"/>
      <c r="O101" s="6"/>
      <c r="P101" s="6">
        <f>IFERROR(VLOOKUP(F101,'9. Retirements'!$B$6:$C$57,2,FALSE),)</f>
        <v>0</v>
      </c>
      <c r="Q101" s="7">
        <f t="shared" si="60"/>
        <v>37172.97</v>
      </c>
      <c r="R101" s="6">
        <f t="shared" si="61"/>
        <v>1063</v>
      </c>
      <c r="S101" s="6"/>
      <c r="U101" s="13"/>
    </row>
    <row r="102" spans="1:23">
      <c r="A102" s="5" t="str">
        <f t="shared" si="58"/>
        <v>393</v>
      </c>
      <c r="C102" s="11" t="s">
        <v>73</v>
      </c>
      <c r="D102" s="437" t="str">
        <f t="shared" si="59"/>
        <v>39300000</v>
      </c>
      <c r="E102" s="10"/>
      <c r="F102" s="5" t="s">
        <v>942</v>
      </c>
      <c r="G102" s="12">
        <f>IFERROR(VLOOKUP($D102,'4. New Depr Rates'!$R$8:$W$69,2,FALSE),0)</f>
        <v>2.86E-2</v>
      </c>
      <c r="H102" s="12">
        <f>IFERROR(VLOOKUP($D102,'4. New Depr Rates'!$R$8:$W$69,4,FALSE),0)</f>
        <v>0</v>
      </c>
      <c r="I102" s="12">
        <f>IFERROR(VLOOKUP($D102,'4. New Depr Rates'!$R$8:$W$69,6,FALSE),0)</f>
        <v>2.86E-2</v>
      </c>
      <c r="J102" s="661">
        <f>IFERROR(VLOOKUP($F102,'1. BI Page 204-207'!$F$7:$L$148,7,FALSE),0)</f>
        <v>18967.98</v>
      </c>
      <c r="K102" s="6"/>
      <c r="L102" s="6"/>
      <c r="M102" s="6"/>
      <c r="N102" s="6"/>
      <c r="O102" s="6"/>
      <c r="P102" s="6">
        <f>IFERROR(VLOOKUP(F102,'9. Retirements'!$B$6:$C$57,2,FALSE),)</f>
        <v>0</v>
      </c>
      <c r="Q102" s="7">
        <f t="shared" si="60"/>
        <v>18967.98</v>
      </c>
      <c r="R102" s="6">
        <f t="shared" si="61"/>
        <v>542</v>
      </c>
      <c r="S102" s="6"/>
      <c r="U102" s="13"/>
    </row>
    <row r="103" spans="1:23">
      <c r="A103" s="5" t="str">
        <f t="shared" si="58"/>
        <v>393</v>
      </c>
      <c r="C103" s="11" t="s">
        <v>73</v>
      </c>
      <c r="D103" s="437" t="str">
        <f t="shared" si="59"/>
        <v>39300000</v>
      </c>
      <c r="E103" s="10"/>
      <c r="F103" s="265" t="s">
        <v>943</v>
      </c>
      <c r="G103" s="12">
        <f>IFERROR(VLOOKUP($D103,'4. New Depr Rates'!$R$8:$W$69,2,FALSE),0)</f>
        <v>2.86E-2</v>
      </c>
      <c r="H103" s="12">
        <f>IFERROR(VLOOKUP($D103,'4. New Depr Rates'!$R$8:$W$69,4,FALSE),0)</f>
        <v>0</v>
      </c>
      <c r="I103" s="12">
        <f>IFERROR(VLOOKUP($D103,'4. New Depr Rates'!$R$8:$W$69,6,FALSE),0)</f>
        <v>2.86E-2</v>
      </c>
      <c r="J103" s="661">
        <f>IFERROR(VLOOKUP($F103,'1. BI Page 204-207'!$F$7:$L$148,7,FALSE),0)</f>
        <v>26339.4</v>
      </c>
      <c r="K103" s="6"/>
      <c r="L103" s="6"/>
      <c r="M103" s="6"/>
      <c r="N103" s="6"/>
      <c r="O103" s="6"/>
      <c r="P103" s="6">
        <f>IFERROR(VLOOKUP(F103,'9. Retirements'!$B$6:$C$57,2,FALSE),)</f>
        <v>0</v>
      </c>
      <c r="Q103" s="7">
        <f t="shared" si="60"/>
        <v>26339.4</v>
      </c>
      <c r="R103" s="6">
        <f t="shared" si="61"/>
        <v>753</v>
      </c>
      <c r="S103" s="6"/>
      <c r="U103" s="13"/>
    </row>
    <row r="104" spans="1:23">
      <c r="A104" s="5" t="str">
        <f t="shared" si="58"/>
        <v>393</v>
      </c>
      <c r="C104" s="11" t="s">
        <v>73</v>
      </c>
      <c r="D104" s="437" t="str">
        <f t="shared" si="59"/>
        <v>39300000</v>
      </c>
      <c r="E104" s="10"/>
      <c r="F104" s="265" t="s">
        <v>944</v>
      </c>
      <c r="G104" s="12">
        <f>IFERROR(VLOOKUP($D104,'4. New Depr Rates'!$R$8:$W$69,2,FALSE),0)</f>
        <v>2.86E-2</v>
      </c>
      <c r="H104" s="12">
        <f>IFERROR(VLOOKUP($D104,'4. New Depr Rates'!$R$8:$W$69,4,FALSE),0)</f>
        <v>0</v>
      </c>
      <c r="I104" s="12">
        <f>IFERROR(VLOOKUP($D104,'4. New Depr Rates'!$R$8:$W$69,6,FALSE),0)</f>
        <v>2.86E-2</v>
      </c>
      <c r="J104" s="661">
        <f>IFERROR(VLOOKUP($F104,'1. BI Page 204-207'!$F$7:$L$148,7,FALSE),0)</f>
        <v>25696.19</v>
      </c>
      <c r="K104" s="6"/>
      <c r="L104" s="6"/>
      <c r="M104" s="6"/>
      <c r="N104" s="6"/>
      <c r="O104" s="6"/>
      <c r="P104" s="6">
        <f>IFERROR(VLOOKUP(F104,'9. Retirements'!$B$6:$C$57,2,FALSE),)</f>
        <v>0</v>
      </c>
      <c r="Q104" s="7">
        <f t="shared" si="60"/>
        <v>25696.19</v>
      </c>
      <c r="R104" s="6">
        <f t="shared" si="61"/>
        <v>735</v>
      </c>
      <c r="S104" s="6"/>
      <c r="U104" s="13"/>
    </row>
    <row r="105" spans="1:23">
      <c r="A105" s="8"/>
      <c r="B105" s="8"/>
      <c r="C105" s="8"/>
      <c r="D105" s="8"/>
      <c r="E105" s="8" t="s">
        <v>936</v>
      </c>
      <c r="F105" s="8" t="str">
        <f>MID(E105,2,3)</f>
        <v>393</v>
      </c>
      <c r="G105" s="8"/>
      <c r="H105" s="8"/>
      <c r="I105" s="8"/>
      <c r="J105" s="293">
        <f t="shared" ref="J105:R105" si="62">SUM(J98:J104)</f>
        <v>317701.8</v>
      </c>
      <c r="K105" s="293">
        <f t="shared" si="62"/>
        <v>0</v>
      </c>
      <c r="L105" s="293">
        <f t="shared" si="62"/>
        <v>0</v>
      </c>
      <c r="M105" s="293">
        <f t="shared" si="62"/>
        <v>0</v>
      </c>
      <c r="N105" s="293">
        <f t="shared" si="62"/>
        <v>0</v>
      </c>
      <c r="O105" s="293">
        <f t="shared" si="62"/>
        <v>0</v>
      </c>
      <c r="P105" s="293">
        <f t="shared" si="62"/>
        <v>-2145.16</v>
      </c>
      <c r="Q105" s="293">
        <f t="shared" si="62"/>
        <v>315556.64</v>
      </c>
      <c r="R105" s="293">
        <f t="shared" si="62"/>
        <v>9023</v>
      </c>
      <c r="S105" s="292">
        <f>'3. Depreciation Expense Dtl'!O40</f>
        <v>8849</v>
      </c>
      <c r="T105" s="292">
        <f>R105-S105</f>
        <v>174</v>
      </c>
      <c r="U105" s="13" t="s">
        <v>1221</v>
      </c>
      <c r="V105" s="669" t="str">
        <f>LEFT(E105,4)</f>
        <v>G393</v>
      </c>
      <c r="W105" s="672">
        <f>'3. Depreciation Expense Dtl'!E40+'3. Depreciation Expense Dtl'!L40</f>
        <v>-256.16000000000003</v>
      </c>
    </row>
    <row r="106" spans="1:23">
      <c r="A106" s="5" t="str">
        <f>MID(F106,3,3)</f>
        <v>394</v>
      </c>
      <c r="C106" s="11" t="s">
        <v>73</v>
      </c>
      <c r="D106" s="437" t="str">
        <f>CONCATENATE(A106,C106)</f>
        <v>39400000</v>
      </c>
      <c r="E106" s="10" t="s">
        <v>945</v>
      </c>
      <c r="F106" s="5" t="s">
        <v>951</v>
      </c>
      <c r="G106" s="12">
        <f>IFERROR(VLOOKUP($D106,'4. New Depr Rates'!$R$8:$W$69,2,FALSE),0)</f>
        <v>0.04</v>
      </c>
      <c r="H106" s="12">
        <f>IFERROR(VLOOKUP($D106,'4. New Depr Rates'!$R$8:$W$69,4,FALSE),0)</f>
        <v>0</v>
      </c>
      <c r="I106" s="12">
        <f>IFERROR(VLOOKUP($D106,'4. New Depr Rates'!$R$8:$W$69,6,FALSE),0)</f>
        <v>0.04</v>
      </c>
      <c r="J106" s="661">
        <f>IFERROR(VLOOKUP($F106,'1. BI Page 204-207'!$F$7:$L$148,7,FALSE),0)</f>
        <v>15603.55</v>
      </c>
      <c r="K106" s="6"/>
      <c r="L106" s="6"/>
      <c r="M106" s="6"/>
      <c r="N106" s="6"/>
      <c r="O106" s="6"/>
      <c r="P106" s="6">
        <f>IFERROR(VLOOKUP(F106,'9. Retirements'!$B$6:$C$57,2,FALSE),)</f>
        <v>0</v>
      </c>
      <c r="Q106" s="7">
        <f t="shared" ref="Q106:Q117" si="63">SUM(J106:P106)</f>
        <v>15603.55</v>
      </c>
      <c r="R106" s="6">
        <f t="shared" si="61"/>
        <v>624</v>
      </c>
      <c r="S106" s="6"/>
      <c r="U106" s="13"/>
    </row>
    <row r="107" spans="1:23">
      <c r="A107" s="5" t="str">
        <f>MID(F107,3,3)</f>
        <v>394</v>
      </c>
      <c r="C107" s="11" t="s">
        <v>73</v>
      </c>
      <c r="D107" s="437" t="str">
        <f>CONCATENATE(A107,C107)</f>
        <v>39400000</v>
      </c>
      <c r="E107" s="10"/>
      <c r="F107" s="5" t="s">
        <v>952</v>
      </c>
      <c r="G107" s="12">
        <f>IFERROR(VLOOKUP($D107,'4. New Depr Rates'!$R$8:$W$69,2,FALSE),0)</f>
        <v>0.04</v>
      </c>
      <c r="H107" s="12">
        <f>IFERROR(VLOOKUP($D107,'4. New Depr Rates'!$R$8:$W$69,4,FALSE),0)</f>
        <v>0</v>
      </c>
      <c r="I107" s="12">
        <f>IFERROR(VLOOKUP($D107,'4. New Depr Rates'!$R$8:$W$69,6,FALSE),0)</f>
        <v>0.04</v>
      </c>
      <c r="J107" s="661">
        <f>IFERROR(VLOOKUP($F107,'1. BI Page 204-207'!$F$7:$L$148,7,FALSE),0)</f>
        <v>880693.95</v>
      </c>
      <c r="K107" s="6"/>
      <c r="L107" s="6"/>
      <c r="M107" s="6"/>
      <c r="N107" s="6"/>
      <c r="O107" s="6"/>
      <c r="P107" s="6">
        <f>IFERROR(VLOOKUP(F107,'9. Retirements'!$B$6:$C$57,2,FALSE),)</f>
        <v>-24634.69</v>
      </c>
      <c r="Q107" s="7">
        <f t="shared" si="63"/>
        <v>856059.26</v>
      </c>
      <c r="R107" s="6">
        <f t="shared" si="61"/>
        <v>34242</v>
      </c>
      <c r="S107" s="6"/>
      <c r="U107" s="13"/>
    </row>
    <row r="108" spans="1:23">
      <c r="A108" s="5" t="str">
        <f>MID(F108,3,3)</f>
        <v>394</v>
      </c>
      <c r="C108" s="11" t="s">
        <v>73</v>
      </c>
      <c r="D108" s="437" t="str">
        <f>CONCATENATE(A108,C108)</f>
        <v>39400000</v>
      </c>
      <c r="E108" s="10"/>
      <c r="F108" s="5" t="s">
        <v>953</v>
      </c>
      <c r="G108" s="12">
        <f>IFERROR(VLOOKUP($D108,'4. New Depr Rates'!$R$8:$W$69,2,FALSE),0)</f>
        <v>0.04</v>
      </c>
      <c r="H108" s="12">
        <f>IFERROR(VLOOKUP($D108,'4. New Depr Rates'!$R$8:$W$69,4,FALSE),0)</f>
        <v>0</v>
      </c>
      <c r="I108" s="12">
        <f>IFERROR(VLOOKUP($D108,'4. New Depr Rates'!$R$8:$W$69,6,FALSE),0)</f>
        <v>0.04</v>
      </c>
      <c r="J108" s="661">
        <f>IFERROR(VLOOKUP($F108,'1. BI Page 204-207'!$F$7:$L$148,7,FALSE),0)</f>
        <v>1322025.6599999999</v>
      </c>
      <c r="K108" s="6"/>
      <c r="L108" s="6"/>
      <c r="M108" s="6"/>
      <c r="N108" s="6"/>
      <c r="O108" s="6"/>
      <c r="P108" s="6">
        <f>IFERROR(VLOOKUP(F108,'9. Retirements'!$B$6:$C$57,2,FALSE),)</f>
        <v>-3175.94</v>
      </c>
      <c r="Q108" s="7">
        <f t="shared" si="63"/>
        <v>1318849.72</v>
      </c>
      <c r="R108" s="6">
        <f t="shared" si="61"/>
        <v>52754</v>
      </c>
      <c r="S108" s="6"/>
      <c r="U108" s="13"/>
    </row>
    <row r="109" spans="1:23">
      <c r="A109" s="5" t="str">
        <f>MID(F109,3,3)</f>
        <v>394</v>
      </c>
      <c r="C109" s="11" t="s">
        <v>73</v>
      </c>
      <c r="D109" s="437" t="str">
        <f>CONCATENATE(A109,C109)</f>
        <v>39400000</v>
      </c>
      <c r="E109" s="10"/>
      <c r="F109" s="5" t="s">
        <v>954</v>
      </c>
      <c r="G109" s="12">
        <f>IFERROR(VLOOKUP($D109,'4. New Depr Rates'!$R$8:$W$69,2,FALSE),0)</f>
        <v>0.04</v>
      </c>
      <c r="H109" s="12">
        <f>IFERROR(VLOOKUP($D109,'4. New Depr Rates'!$R$8:$W$69,4,FALSE),0)</f>
        <v>0</v>
      </c>
      <c r="I109" s="12">
        <f>IFERROR(VLOOKUP($D109,'4. New Depr Rates'!$R$8:$W$69,6,FALSE),0)</f>
        <v>0.04</v>
      </c>
      <c r="J109" s="661">
        <f>IFERROR(VLOOKUP($F109,'1. BI Page 204-207'!$F$7:$L$148,7,FALSE),0)</f>
        <v>1951574.92</v>
      </c>
      <c r="K109" s="439">
        <f>'2. Post Test Year_Pivot'!E19</f>
        <v>144154</v>
      </c>
      <c r="L109" s="6"/>
      <c r="M109" s="6"/>
      <c r="N109" s="6"/>
      <c r="O109" s="6"/>
      <c r="P109" s="6">
        <f>IFERROR(VLOOKUP(F109,'9. Retirements'!$B$6:$C$57,2,FALSE),)</f>
        <v>-87808.31</v>
      </c>
      <c r="Q109" s="7">
        <f t="shared" si="63"/>
        <v>2007920.6099999999</v>
      </c>
      <c r="R109" s="6">
        <f t="shared" si="61"/>
        <v>80317</v>
      </c>
      <c r="S109" s="6"/>
      <c r="U109" s="13"/>
    </row>
    <row r="110" spans="1:23">
      <c r="A110" s="5" t="str">
        <f>MID(F110,3,3)</f>
        <v>394</v>
      </c>
      <c r="C110" s="11" t="s">
        <v>73</v>
      </c>
      <c r="D110" s="437" t="str">
        <f>CONCATENATE(A110,C110)</f>
        <v>39400000</v>
      </c>
      <c r="E110" s="10"/>
      <c r="F110" s="5" t="s">
        <v>955</v>
      </c>
      <c r="G110" s="12">
        <f>IFERROR(VLOOKUP($D110,'4. New Depr Rates'!$R$8:$W$69,2,FALSE),0)</f>
        <v>0.04</v>
      </c>
      <c r="H110" s="12">
        <f>IFERROR(VLOOKUP($D110,'4. New Depr Rates'!$R$8:$W$69,4,FALSE),0)</f>
        <v>0</v>
      </c>
      <c r="I110" s="12">
        <f>IFERROR(VLOOKUP($D110,'4. New Depr Rates'!$R$8:$W$69,6,FALSE),0)</f>
        <v>0.04</v>
      </c>
      <c r="J110" s="661">
        <f>IFERROR(VLOOKUP($F110,'1. BI Page 204-207'!$F$7:$L$148,7,FALSE),0)</f>
        <v>225719</v>
      </c>
      <c r="K110" s="6"/>
      <c r="L110" s="6"/>
      <c r="M110" s="6"/>
      <c r="N110" s="6"/>
      <c r="O110" s="6"/>
      <c r="P110" s="6">
        <f>IFERROR(VLOOKUP(F110,'9. Retirements'!$B$6:$C$57,2,FALSE),)</f>
        <v>-15380.93</v>
      </c>
      <c r="Q110" s="7">
        <f t="shared" si="63"/>
        <v>210338.07</v>
      </c>
      <c r="R110" s="6">
        <f t="shared" si="61"/>
        <v>8414</v>
      </c>
      <c r="S110" s="6"/>
      <c r="U110" s="13"/>
    </row>
    <row r="111" spans="1:23">
      <c r="A111" s="5" t="str">
        <f t="shared" ref="A111:A117" si="64">MID(F111,3,3)</f>
        <v>394</v>
      </c>
      <c r="C111" s="11" t="s">
        <v>73</v>
      </c>
      <c r="D111" s="437" t="str">
        <f t="shared" ref="D111:D117" si="65">CONCATENATE(A111,C111)</f>
        <v>39400000</v>
      </c>
      <c r="E111" s="10"/>
      <c r="F111" s="5" t="s">
        <v>956</v>
      </c>
      <c r="G111" s="12">
        <f>IFERROR(VLOOKUP($D111,'4. New Depr Rates'!$R$8:$W$69,2,FALSE),0)</f>
        <v>0.04</v>
      </c>
      <c r="H111" s="12">
        <f>IFERROR(VLOOKUP($D111,'4. New Depr Rates'!$R$8:$W$69,4,FALSE),0)</f>
        <v>0</v>
      </c>
      <c r="I111" s="12">
        <f>IFERROR(VLOOKUP($D111,'4. New Depr Rates'!$R$8:$W$69,6,FALSE),0)</f>
        <v>0.04</v>
      </c>
      <c r="J111" s="661">
        <f>IFERROR(VLOOKUP($F111,'1. BI Page 204-207'!$F$7:$L$148,7,FALSE),0)</f>
        <v>14051.68</v>
      </c>
      <c r="K111" s="6"/>
      <c r="L111" s="6"/>
      <c r="M111" s="6"/>
      <c r="N111" s="6"/>
      <c r="O111" s="6"/>
      <c r="P111" s="6">
        <f>IFERROR(VLOOKUP(F111,'9. Retirements'!$B$6:$C$57,2,FALSE),)</f>
        <v>0</v>
      </c>
      <c r="Q111" s="7">
        <f t="shared" si="63"/>
        <v>14051.68</v>
      </c>
      <c r="R111" s="6">
        <f t="shared" si="61"/>
        <v>562</v>
      </c>
      <c r="S111" s="6"/>
      <c r="U111" s="13"/>
    </row>
    <row r="112" spans="1:23">
      <c r="A112" s="5" t="str">
        <f t="shared" si="64"/>
        <v>394</v>
      </c>
      <c r="C112" s="11" t="s">
        <v>73</v>
      </c>
      <c r="D112" s="437" t="str">
        <f t="shared" si="65"/>
        <v>39400000</v>
      </c>
      <c r="E112" s="10"/>
      <c r="F112" s="5" t="s">
        <v>957</v>
      </c>
      <c r="G112" s="12">
        <f>IFERROR(VLOOKUP($D112,'4. New Depr Rates'!$R$8:$W$69,2,FALSE),0)</f>
        <v>0.04</v>
      </c>
      <c r="H112" s="12">
        <f>IFERROR(VLOOKUP($D112,'4. New Depr Rates'!$R$8:$W$69,4,FALSE),0)</f>
        <v>0</v>
      </c>
      <c r="I112" s="12">
        <f>IFERROR(VLOOKUP($D112,'4. New Depr Rates'!$R$8:$W$69,6,FALSE),0)</f>
        <v>0.04</v>
      </c>
      <c r="J112" s="661">
        <f>IFERROR(VLOOKUP($F112,'1. BI Page 204-207'!$F$7:$L$148,7,FALSE),0)</f>
        <v>1207782.8500000001</v>
      </c>
      <c r="K112" s="6"/>
      <c r="L112" s="6"/>
      <c r="M112" s="6"/>
      <c r="N112" s="6"/>
      <c r="O112" s="6"/>
      <c r="P112" s="6">
        <f>IFERROR(VLOOKUP(F112,'9. Retirements'!$B$6:$C$57,2,FALSE),)</f>
        <v>-42520.17</v>
      </c>
      <c r="Q112" s="7">
        <f t="shared" si="63"/>
        <v>1165262.6800000002</v>
      </c>
      <c r="R112" s="6">
        <f t="shared" si="61"/>
        <v>46611</v>
      </c>
      <c r="S112" s="6"/>
      <c r="U112" s="13"/>
    </row>
    <row r="113" spans="1:23">
      <c r="A113" s="5" t="str">
        <f t="shared" si="64"/>
        <v>394</v>
      </c>
      <c r="C113" s="11" t="s">
        <v>73</v>
      </c>
      <c r="D113" s="437" t="str">
        <f t="shared" si="65"/>
        <v>39400000</v>
      </c>
      <c r="E113" s="10"/>
      <c r="F113" s="5" t="s">
        <v>958</v>
      </c>
      <c r="G113" s="12">
        <f>IFERROR(VLOOKUP($D113,'4. New Depr Rates'!$R$8:$W$69,2,FALSE),0)</f>
        <v>0.04</v>
      </c>
      <c r="H113" s="12">
        <f>IFERROR(VLOOKUP($D113,'4. New Depr Rates'!$R$8:$W$69,4,FALSE),0)</f>
        <v>0</v>
      </c>
      <c r="I113" s="12">
        <f>IFERROR(VLOOKUP($D113,'4. New Depr Rates'!$R$8:$W$69,6,FALSE),0)</f>
        <v>0.04</v>
      </c>
      <c r="J113" s="661">
        <f>IFERROR(VLOOKUP($F113,'1. BI Page 204-207'!$F$7:$L$148,7,FALSE),0)</f>
        <v>1338453.27</v>
      </c>
      <c r="K113" s="6"/>
      <c r="L113" s="6"/>
      <c r="M113" s="6"/>
      <c r="N113" s="6"/>
      <c r="O113" s="6"/>
      <c r="P113" s="6">
        <f>IFERROR(VLOOKUP(F113,'9. Retirements'!$B$6:$C$57,2,FALSE),)</f>
        <v>-75668.98</v>
      </c>
      <c r="Q113" s="7">
        <f t="shared" si="63"/>
        <v>1262784.29</v>
      </c>
      <c r="R113" s="6">
        <f t="shared" si="61"/>
        <v>50511</v>
      </c>
      <c r="S113" s="6"/>
      <c r="U113" s="13"/>
    </row>
    <row r="114" spans="1:23">
      <c r="A114" s="5" t="str">
        <f t="shared" si="64"/>
        <v>394</v>
      </c>
      <c r="C114" s="11" t="s">
        <v>73</v>
      </c>
      <c r="D114" s="437" t="str">
        <f t="shared" si="65"/>
        <v>39400000</v>
      </c>
      <c r="E114" s="10"/>
      <c r="F114" s="5" t="s">
        <v>959</v>
      </c>
      <c r="G114" s="12">
        <f>IFERROR(VLOOKUP($D114,'4. New Depr Rates'!$R$8:$W$69,2,FALSE),0)</f>
        <v>0.04</v>
      </c>
      <c r="H114" s="12">
        <f>IFERROR(VLOOKUP($D114,'4. New Depr Rates'!$R$8:$W$69,4,FALSE),0)</f>
        <v>0</v>
      </c>
      <c r="I114" s="12">
        <f>IFERROR(VLOOKUP($D114,'4. New Depr Rates'!$R$8:$W$69,6,FALSE),0)</f>
        <v>0.04</v>
      </c>
      <c r="J114" s="661">
        <f>IFERROR(VLOOKUP($F114,'1. BI Page 204-207'!$F$7:$L$148,7,FALSE),0)</f>
        <v>61574.22</v>
      </c>
      <c r="K114" s="6"/>
      <c r="L114" s="6"/>
      <c r="M114" s="6"/>
      <c r="N114" s="6"/>
      <c r="O114" s="6"/>
      <c r="P114" s="6">
        <f>IFERROR(VLOOKUP(F114,'9. Retirements'!$B$6:$C$57,2,FALSE),)</f>
        <v>-61574.22</v>
      </c>
      <c r="Q114" s="7">
        <f t="shared" si="63"/>
        <v>0</v>
      </c>
      <c r="R114" s="6">
        <f t="shared" si="61"/>
        <v>0</v>
      </c>
      <c r="S114" s="6"/>
      <c r="U114" s="13"/>
    </row>
    <row r="115" spans="1:23">
      <c r="A115" s="5" t="str">
        <f t="shared" si="64"/>
        <v>394</v>
      </c>
      <c r="C115" s="11" t="s">
        <v>73</v>
      </c>
      <c r="D115" s="437" t="str">
        <f t="shared" si="65"/>
        <v>39400000</v>
      </c>
      <c r="E115" s="10"/>
      <c r="F115" s="5" t="s">
        <v>960</v>
      </c>
      <c r="G115" s="12">
        <f>IFERROR(VLOOKUP($D115,'4. New Depr Rates'!$R$8:$W$69,2,FALSE),0)</f>
        <v>0.04</v>
      </c>
      <c r="H115" s="12">
        <f>IFERROR(VLOOKUP($D115,'4. New Depr Rates'!$R$8:$W$69,4,FALSE),0)</f>
        <v>0</v>
      </c>
      <c r="I115" s="12">
        <f>IFERROR(VLOOKUP($D115,'4. New Depr Rates'!$R$8:$W$69,6,FALSE),0)</f>
        <v>0.04</v>
      </c>
      <c r="J115" s="661">
        <f>IFERROR(VLOOKUP($F115,'1. BI Page 204-207'!$F$7:$L$148,7,FALSE),0)</f>
        <v>341660.4</v>
      </c>
      <c r="K115" s="6"/>
      <c r="L115" s="6"/>
      <c r="M115" s="6"/>
      <c r="N115" s="6"/>
      <c r="O115" s="6"/>
      <c r="P115" s="6">
        <f>IFERROR(VLOOKUP(F115,'9. Retirements'!$B$6:$C$57,2,FALSE),)</f>
        <v>-14138.42</v>
      </c>
      <c r="Q115" s="7">
        <f t="shared" si="63"/>
        <v>327521.98000000004</v>
      </c>
      <c r="R115" s="6">
        <f t="shared" si="61"/>
        <v>13101</v>
      </c>
      <c r="S115" s="6"/>
      <c r="U115" s="13"/>
    </row>
    <row r="116" spans="1:23">
      <c r="A116" s="5" t="str">
        <f t="shared" si="64"/>
        <v>394</v>
      </c>
      <c r="C116" s="11" t="s">
        <v>73</v>
      </c>
      <c r="D116" s="437" t="str">
        <f t="shared" si="65"/>
        <v>39400000</v>
      </c>
      <c r="E116" s="10"/>
      <c r="F116" s="5" t="s">
        <v>961</v>
      </c>
      <c r="G116" s="12">
        <f>IFERROR(VLOOKUP($D116,'4. New Depr Rates'!$R$8:$W$69,2,FALSE),0)</f>
        <v>0.04</v>
      </c>
      <c r="H116" s="12">
        <f>IFERROR(VLOOKUP($D116,'4. New Depr Rates'!$R$8:$W$69,4,FALSE),0)</f>
        <v>0</v>
      </c>
      <c r="I116" s="12">
        <f>IFERROR(VLOOKUP($D116,'4. New Depr Rates'!$R$8:$W$69,6,FALSE),0)</f>
        <v>0.04</v>
      </c>
      <c r="J116" s="661">
        <f>IFERROR(VLOOKUP($F116,'1. BI Page 204-207'!$F$7:$L$148,7,FALSE),0)</f>
        <v>1197473.1399999999</v>
      </c>
      <c r="K116" s="6"/>
      <c r="L116" s="6"/>
      <c r="M116" s="6"/>
      <c r="N116" s="6"/>
      <c r="O116" s="6"/>
      <c r="P116" s="6">
        <f>IFERROR(VLOOKUP(F116,'9. Retirements'!$B$6:$C$57,2,FALSE),)</f>
        <v>-35974.78</v>
      </c>
      <c r="Q116" s="7">
        <f t="shared" si="63"/>
        <v>1161498.3599999999</v>
      </c>
      <c r="R116" s="6">
        <f t="shared" si="61"/>
        <v>46460</v>
      </c>
      <c r="S116" s="6"/>
      <c r="U116" s="13"/>
    </row>
    <row r="117" spans="1:23">
      <c r="A117" s="5" t="str">
        <f t="shared" si="64"/>
        <v>394</v>
      </c>
      <c r="C117" s="11" t="s">
        <v>73</v>
      </c>
      <c r="D117" s="437" t="str">
        <f t="shared" si="65"/>
        <v>39400000</v>
      </c>
      <c r="E117" s="10"/>
      <c r="F117" s="5" t="s">
        <v>962</v>
      </c>
      <c r="G117" s="12">
        <f>IFERROR(VLOOKUP($D117,'4. New Depr Rates'!$R$8:$W$69,2,FALSE),0)</f>
        <v>0.04</v>
      </c>
      <c r="H117" s="12">
        <f>IFERROR(VLOOKUP($D117,'4. New Depr Rates'!$R$8:$W$69,4,FALSE),0)</f>
        <v>0</v>
      </c>
      <c r="I117" s="12">
        <f>IFERROR(VLOOKUP($D117,'4. New Depr Rates'!$R$8:$W$69,6,FALSE),0)</f>
        <v>0.04</v>
      </c>
      <c r="J117" s="661">
        <f>IFERROR(VLOOKUP($F117,'1. BI Page 204-207'!$F$7:$L$148,7,FALSE),0)</f>
        <v>14051.68</v>
      </c>
      <c r="K117" s="6"/>
      <c r="L117" s="6"/>
      <c r="M117" s="6"/>
      <c r="N117" s="6"/>
      <c r="O117" s="6"/>
      <c r="P117" s="6">
        <f>IFERROR(VLOOKUP(F117,'9. Retirements'!$B$6:$C$57,2,FALSE),)</f>
        <v>0</v>
      </c>
      <c r="Q117" s="7">
        <f t="shared" si="63"/>
        <v>14051.68</v>
      </c>
      <c r="R117" s="6">
        <f t="shared" si="61"/>
        <v>562</v>
      </c>
      <c r="S117" s="6"/>
      <c r="U117" s="13"/>
    </row>
    <row r="118" spans="1:23">
      <c r="A118" s="8"/>
      <c r="B118" s="8"/>
      <c r="C118" s="8"/>
      <c r="D118" s="8"/>
      <c r="E118" s="8" t="s">
        <v>950</v>
      </c>
      <c r="F118" s="8" t="str">
        <f>MID(E118,2,3)</f>
        <v>394</v>
      </c>
      <c r="G118" s="8"/>
      <c r="H118" s="8"/>
      <c r="I118" s="8"/>
      <c r="J118" s="293">
        <f t="shared" ref="J118:R118" si="66">SUM(J106:J117)</f>
        <v>8570664.3199999984</v>
      </c>
      <c r="K118" s="293">
        <f t="shared" si="66"/>
        <v>144154</v>
      </c>
      <c r="L118" s="293">
        <f t="shared" si="66"/>
        <v>0</v>
      </c>
      <c r="M118" s="293">
        <f t="shared" si="66"/>
        <v>0</v>
      </c>
      <c r="N118" s="293">
        <f t="shared" si="66"/>
        <v>0</v>
      </c>
      <c r="O118" s="293">
        <f t="shared" si="66"/>
        <v>0</v>
      </c>
      <c r="P118" s="293">
        <f t="shared" si="66"/>
        <v>-360876.43999999994</v>
      </c>
      <c r="Q118" s="293">
        <f t="shared" si="66"/>
        <v>8353941.8800000008</v>
      </c>
      <c r="R118" s="293">
        <f t="shared" si="66"/>
        <v>334158</v>
      </c>
      <c r="S118" s="292">
        <f>'3. Depreciation Expense Dtl'!O41</f>
        <v>303279</v>
      </c>
      <c r="T118" s="292">
        <f>R118-S118</f>
        <v>30879</v>
      </c>
      <c r="U118" s="13" t="s">
        <v>1222</v>
      </c>
      <c r="V118" s="669" t="str">
        <f>LEFT(E118,4)</f>
        <v>G394</v>
      </c>
      <c r="W118" s="672">
        <f>'3. Depreciation Expense Dtl'!E41+'3. Depreciation Expense Dtl'!L41</f>
        <v>-2114.48</v>
      </c>
    </row>
    <row r="119" spans="1:23">
      <c r="A119" s="5" t="str">
        <f>MID(F119,3,3)</f>
        <v>395</v>
      </c>
      <c r="C119" s="11" t="s">
        <v>73</v>
      </c>
      <c r="D119" s="437" t="str">
        <f>CONCATENATE(A119,C119)</f>
        <v>39500000</v>
      </c>
      <c r="E119" s="10" t="s">
        <v>946</v>
      </c>
      <c r="F119" s="5" t="s">
        <v>966</v>
      </c>
      <c r="G119" s="12">
        <f>IFERROR(VLOOKUP($D119,'4. New Depr Rates'!$R$8:$W$69,2,FALSE),0)</f>
        <v>0.1111</v>
      </c>
      <c r="H119" s="12">
        <f>IFERROR(VLOOKUP($D119,'4. New Depr Rates'!$R$8:$W$69,4,FALSE),0)</f>
        <v>0</v>
      </c>
      <c r="I119" s="12">
        <f>IFERROR(VLOOKUP($D119,'4. New Depr Rates'!$R$8:$W$69,6,FALSE),0)</f>
        <v>0.11110000000000002</v>
      </c>
      <c r="J119" s="661">
        <f>IFERROR(VLOOKUP($F119,'1. BI Page 204-207'!$F$7:$L$148,7,FALSE),0)</f>
        <v>7648.03</v>
      </c>
      <c r="K119" s="6"/>
      <c r="L119" s="6"/>
      <c r="M119" s="6"/>
      <c r="N119" s="6"/>
      <c r="O119" s="6"/>
      <c r="P119" s="6">
        <f>IFERROR(VLOOKUP(F119,'9. Retirements'!$B$6:$C$57,2,FALSE),)</f>
        <v>-810.65</v>
      </c>
      <c r="Q119" s="7">
        <f t="shared" ref="Q119:Q123" si="67">SUM(J119:P119)</f>
        <v>6837.38</v>
      </c>
      <c r="R119" s="6">
        <f t="shared" si="61"/>
        <v>760</v>
      </c>
      <c r="S119" s="6"/>
      <c r="U119" s="13"/>
    </row>
    <row r="120" spans="1:23">
      <c r="A120" s="5" t="str">
        <f>MID(F120,3,3)</f>
        <v>395</v>
      </c>
      <c r="C120" s="11" t="s">
        <v>73</v>
      </c>
      <c r="D120" s="437" t="str">
        <f>CONCATENATE(A120,C120)</f>
        <v>39500000</v>
      </c>
      <c r="E120" s="10"/>
      <c r="F120" s="5" t="s">
        <v>969</v>
      </c>
      <c r="G120" s="12">
        <f>IFERROR(VLOOKUP($D120,'4. New Depr Rates'!$R$8:$W$69,2,FALSE),0)</f>
        <v>0.1111</v>
      </c>
      <c r="H120" s="12">
        <f>IFERROR(VLOOKUP($D120,'4. New Depr Rates'!$R$8:$W$69,4,FALSE),0)</f>
        <v>0</v>
      </c>
      <c r="I120" s="12">
        <f>IFERROR(VLOOKUP($D120,'4. New Depr Rates'!$R$8:$W$69,6,FALSE),0)</f>
        <v>0.11110000000000002</v>
      </c>
      <c r="J120" s="661">
        <f>IFERROR(VLOOKUP($F120,'1. BI Page 204-207'!$F$7:$L$148,7,FALSE),0)</f>
        <v>6148.43</v>
      </c>
      <c r="K120" s="6"/>
      <c r="L120" s="6"/>
      <c r="M120" s="6"/>
      <c r="N120" s="6"/>
      <c r="O120" s="6"/>
      <c r="P120" s="6">
        <f>IFERROR(VLOOKUP(F120,'9. Retirements'!$B$6:$C$57,2,FALSE),)</f>
        <v>0</v>
      </c>
      <c r="Q120" s="7">
        <f t="shared" si="67"/>
        <v>6148.43</v>
      </c>
      <c r="R120" s="6">
        <f t="shared" si="61"/>
        <v>683</v>
      </c>
      <c r="S120" s="6"/>
      <c r="U120" s="13"/>
    </row>
    <row r="121" spans="1:23">
      <c r="A121" s="5" t="str">
        <f>MID(F121,3,3)</f>
        <v>395</v>
      </c>
      <c r="C121" s="11" t="s">
        <v>73</v>
      </c>
      <c r="D121" s="437" t="str">
        <f>CONCATENATE(A121,C121)</f>
        <v>39500000</v>
      </c>
      <c r="E121" s="10"/>
      <c r="F121" s="5" t="s">
        <v>970</v>
      </c>
      <c r="G121" s="12">
        <f>IFERROR(VLOOKUP($D121,'4. New Depr Rates'!$R$8:$W$69,2,FALSE),0)</f>
        <v>0.1111</v>
      </c>
      <c r="H121" s="12">
        <f>IFERROR(VLOOKUP($D121,'4. New Depr Rates'!$R$8:$W$69,4,FALSE),0)</f>
        <v>0</v>
      </c>
      <c r="I121" s="12">
        <f>IFERROR(VLOOKUP($D121,'4. New Depr Rates'!$R$8:$W$69,6,FALSE),0)</f>
        <v>0.11110000000000002</v>
      </c>
      <c r="J121" s="661">
        <f>IFERROR(VLOOKUP($F121,'1. BI Page 204-207'!$F$7:$L$148,7,FALSE),0)</f>
        <v>6148.43</v>
      </c>
      <c r="K121" s="6"/>
      <c r="L121" s="6"/>
      <c r="M121" s="6"/>
      <c r="N121" s="6"/>
      <c r="O121" s="6"/>
      <c r="P121" s="6">
        <f>IFERROR(VLOOKUP(F121,'9. Retirements'!$B$6:$C$57,2,FALSE),)</f>
        <v>-6148.43</v>
      </c>
      <c r="Q121" s="7">
        <f t="shared" si="67"/>
        <v>0</v>
      </c>
      <c r="R121" s="6">
        <f t="shared" si="61"/>
        <v>0</v>
      </c>
      <c r="S121" s="6"/>
      <c r="U121" s="13"/>
    </row>
    <row r="122" spans="1:23">
      <c r="A122" s="5" t="str">
        <f>MID(F122,3,3)</f>
        <v>395</v>
      </c>
      <c r="C122" s="11" t="s">
        <v>73</v>
      </c>
      <c r="D122" s="437" t="str">
        <f>CONCATENATE(A122,C122)</f>
        <v>39500000</v>
      </c>
      <c r="E122" s="10"/>
      <c r="F122" s="5" t="s">
        <v>971</v>
      </c>
      <c r="G122" s="12">
        <f>IFERROR(VLOOKUP($D122,'4. New Depr Rates'!$R$8:$W$69,2,FALSE),0)</f>
        <v>0.1111</v>
      </c>
      <c r="H122" s="12">
        <f>IFERROR(VLOOKUP($D122,'4. New Depr Rates'!$R$8:$W$69,4,FALSE),0)</f>
        <v>0</v>
      </c>
      <c r="I122" s="12">
        <f>IFERROR(VLOOKUP($D122,'4. New Depr Rates'!$R$8:$W$69,6,FALSE),0)</f>
        <v>0.11110000000000002</v>
      </c>
      <c r="J122" s="661">
        <f>IFERROR(VLOOKUP($F122,'1. BI Page 204-207'!$F$7:$L$148,7,FALSE),0)</f>
        <v>5848.49</v>
      </c>
      <c r="K122" s="6"/>
      <c r="L122" s="6"/>
      <c r="M122" s="6"/>
      <c r="N122" s="6"/>
      <c r="O122" s="6"/>
      <c r="P122" s="6">
        <f>IFERROR(VLOOKUP(F122,'9. Retirements'!$B$6:$C$57,2,FALSE),)</f>
        <v>-403.37</v>
      </c>
      <c r="Q122" s="7">
        <f t="shared" si="67"/>
        <v>5445.12</v>
      </c>
      <c r="R122" s="6">
        <f t="shared" si="61"/>
        <v>605</v>
      </c>
      <c r="S122" s="6"/>
      <c r="U122" s="13"/>
    </row>
    <row r="123" spans="1:23">
      <c r="A123" s="5" t="str">
        <f>MID(F123,3,3)</f>
        <v>395</v>
      </c>
      <c r="C123" s="11" t="s">
        <v>73</v>
      </c>
      <c r="D123" s="437" t="str">
        <f>CONCATENATE(A123,C123)</f>
        <v>39500000</v>
      </c>
      <c r="E123" s="10"/>
      <c r="F123" s="5" t="s">
        <v>972</v>
      </c>
      <c r="G123" s="12">
        <f>IFERROR(VLOOKUP($D123,'4. New Depr Rates'!$R$8:$W$69,2,FALSE),0)</f>
        <v>0.1111</v>
      </c>
      <c r="H123" s="12">
        <f>IFERROR(VLOOKUP($D123,'4. New Depr Rates'!$R$8:$W$69,4,FALSE),0)</f>
        <v>0</v>
      </c>
      <c r="I123" s="12">
        <f>IFERROR(VLOOKUP($D123,'4. New Depr Rates'!$R$8:$W$69,6,FALSE),0)</f>
        <v>0.11110000000000002</v>
      </c>
      <c r="J123" s="661">
        <f>IFERROR(VLOOKUP($F123,'1. BI Page 204-207'!$F$7:$L$148,7,FALSE),0)</f>
        <v>7348.1</v>
      </c>
      <c r="K123" s="6"/>
      <c r="L123" s="6"/>
      <c r="M123" s="6"/>
      <c r="N123" s="6"/>
      <c r="O123" s="6"/>
      <c r="P123" s="6">
        <f>IFERROR(VLOOKUP(F123,'9. Retirements'!$B$6:$C$57,2,FALSE),)</f>
        <v>0</v>
      </c>
      <c r="Q123" s="7">
        <f t="shared" si="67"/>
        <v>7348.1</v>
      </c>
      <c r="R123" s="6">
        <f t="shared" si="61"/>
        <v>816</v>
      </c>
      <c r="S123" s="6"/>
      <c r="U123" s="13"/>
    </row>
    <row r="124" spans="1:23">
      <c r="A124" s="8"/>
      <c r="B124" s="8"/>
      <c r="C124" s="8"/>
      <c r="D124" s="8"/>
      <c r="E124" s="8" t="s">
        <v>964</v>
      </c>
      <c r="F124" s="8" t="str">
        <f>MID(E124,2,3)</f>
        <v>395</v>
      </c>
      <c r="G124" s="8"/>
      <c r="H124" s="8"/>
      <c r="I124" s="8"/>
      <c r="J124" s="293">
        <f>SUM(J119:J123)</f>
        <v>33141.479999999996</v>
      </c>
      <c r="K124" s="293">
        <f t="shared" ref="K124:R124" si="68">SUM(K119:K123)</f>
        <v>0</v>
      </c>
      <c r="L124" s="293">
        <f t="shared" si="68"/>
        <v>0</v>
      </c>
      <c r="M124" s="293">
        <f t="shared" si="68"/>
        <v>0</v>
      </c>
      <c r="N124" s="293">
        <f t="shared" si="68"/>
        <v>0</v>
      </c>
      <c r="O124" s="293">
        <f t="shared" si="68"/>
        <v>0</v>
      </c>
      <c r="P124" s="293">
        <f t="shared" si="68"/>
        <v>-7362.45</v>
      </c>
      <c r="Q124" s="293">
        <f t="shared" si="68"/>
        <v>25779.03</v>
      </c>
      <c r="R124" s="293">
        <f t="shared" si="68"/>
        <v>2864</v>
      </c>
      <c r="S124" s="292">
        <f>'3. Depreciation Expense Dtl'!O42</f>
        <v>3682</v>
      </c>
      <c r="T124" s="292">
        <f>R124-S124</f>
        <v>-818</v>
      </c>
      <c r="U124" s="13" t="s">
        <v>1223</v>
      </c>
      <c r="V124" s="669" t="str">
        <f>LEFT(E124,4)</f>
        <v>G395</v>
      </c>
    </row>
    <row r="125" spans="1:23">
      <c r="A125" s="5" t="str">
        <f t="shared" ref="A125:A133" si="69">MID(F125,3,3)</f>
        <v>396</v>
      </c>
      <c r="C125" s="11" t="s">
        <v>73</v>
      </c>
      <c r="D125" s="437" t="str">
        <f t="shared" ref="D125:D133" si="70">CONCATENATE(A125,C125)</f>
        <v>39600000</v>
      </c>
      <c r="E125" s="10" t="s">
        <v>947</v>
      </c>
      <c r="F125" s="5" t="s">
        <v>975</v>
      </c>
      <c r="G125" s="12">
        <f>IFERROR(VLOOKUP($D125,'4. New Depr Rates'!$R$8:$W$69,2,FALSE),0)</f>
        <v>2.7099999999999999E-2</v>
      </c>
      <c r="H125" s="12">
        <f>IFERROR(VLOOKUP($D125,'4. New Depr Rates'!$R$8:$W$69,4,FALSE),0)</f>
        <v>-2.1999999999999975E-3</v>
      </c>
      <c r="I125" s="12">
        <f>IFERROR(VLOOKUP($D125,'4. New Depr Rates'!$R$8:$W$69,6,FALSE),0)</f>
        <v>2.4900000000000002E-2</v>
      </c>
      <c r="J125" s="661">
        <f>IFERROR(VLOOKUP($F125,'1. BI Page 204-207'!$F$7:$L$148,7,FALSE),0)</f>
        <v>682366.45</v>
      </c>
      <c r="K125" s="6"/>
      <c r="L125" s="6"/>
      <c r="M125" s="6"/>
      <c r="N125" s="6"/>
      <c r="O125" s="6"/>
      <c r="P125" s="6">
        <f>IFERROR(VLOOKUP(F125,'9. Retirements'!$B$6:$C$57,2,FALSE),)</f>
        <v>0</v>
      </c>
      <c r="Q125" s="7">
        <f t="shared" ref="Q125:Q133" si="71">SUM(J125:P125)</f>
        <v>682366.45</v>
      </c>
      <c r="R125" s="6">
        <f t="shared" si="61"/>
        <v>16991</v>
      </c>
      <c r="S125" s="6"/>
      <c r="U125" s="13"/>
    </row>
    <row r="126" spans="1:23">
      <c r="A126" s="5" t="str">
        <f t="shared" si="69"/>
        <v>396</v>
      </c>
      <c r="C126" s="11" t="s">
        <v>73</v>
      </c>
      <c r="D126" s="437" t="str">
        <f t="shared" si="70"/>
        <v>39600000</v>
      </c>
      <c r="E126" s="10"/>
      <c r="F126" s="5" t="s">
        <v>976</v>
      </c>
      <c r="G126" s="12">
        <f>IFERROR(VLOOKUP($D126,'4. New Depr Rates'!$R$8:$W$69,2,FALSE),0)</f>
        <v>2.7099999999999999E-2</v>
      </c>
      <c r="H126" s="12">
        <f>IFERROR(VLOOKUP($D126,'4. New Depr Rates'!$R$8:$W$69,4,FALSE),0)</f>
        <v>-2.1999999999999975E-3</v>
      </c>
      <c r="I126" s="12">
        <f>IFERROR(VLOOKUP($D126,'4. New Depr Rates'!$R$8:$W$69,6,FALSE),0)</f>
        <v>2.4900000000000002E-2</v>
      </c>
      <c r="J126" s="661">
        <f>IFERROR(VLOOKUP($F126,'1. BI Page 204-207'!$F$7:$L$148,7,FALSE),0)</f>
        <v>263253.67</v>
      </c>
      <c r="K126" s="6"/>
      <c r="L126" s="6"/>
      <c r="M126" s="6"/>
      <c r="N126" s="6"/>
      <c r="O126" s="6"/>
      <c r="P126" s="6">
        <f>IFERROR(VLOOKUP(F126,'9. Retirements'!$B$6:$C$57,2,FALSE),)</f>
        <v>0</v>
      </c>
      <c r="Q126" s="7">
        <f t="shared" si="71"/>
        <v>263253.67</v>
      </c>
      <c r="R126" s="6">
        <f t="shared" si="61"/>
        <v>6555</v>
      </c>
      <c r="S126" s="6"/>
      <c r="U126" s="13"/>
    </row>
    <row r="127" spans="1:23">
      <c r="A127" s="5" t="str">
        <f t="shared" si="69"/>
        <v>396</v>
      </c>
      <c r="C127" s="11" t="s">
        <v>73</v>
      </c>
      <c r="D127" s="437" t="str">
        <f t="shared" si="70"/>
        <v>39600000</v>
      </c>
      <c r="E127" s="10"/>
      <c r="F127" s="5" t="s">
        <v>977</v>
      </c>
      <c r="G127" s="12">
        <f>IFERROR(VLOOKUP($D127,'4. New Depr Rates'!$R$8:$W$69,2,FALSE),0)</f>
        <v>2.7099999999999999E-2</v>
      </c>
      <c r="H127" s="12">
        <f>IFERROR(VLOOKUP($D127,'4. New Depr Rates'!$R$8:$W$69,4,FALSE),0)</f>
        <v>-2.1999999999999975E-3</v>
      </c>
      <c r="I127" s="12">
        <f>IFERROR(VLOOKUP($D127,'4. New Depr Rates'!$R$8:$W$69,6,FALSE),0)</f>
        <v>2.4900000000000002E-2</v>
      </c>
      <c r="J127" s="661">
        <f>IFERROR(VLOOKUP($F127,'1. BI Page 204-207'!$F$7:$L$148,7,FALSE),0)</f>
        <v>541597.22</v>
      </c>
      <c r="K127" s="6"/>
      <c r="L127" s="6"/>
      <c r="M127" s="6"/>
      <c r="N127" s="6"/>
      <c r="O127" s="6"/>
      <c r="P127" s="6">
        <f>IFERROR(VLOOKUP(F127,'9. Retirements'!$B$6:$C$57,2,FALSE),)</f>
        <v>-15713.22</v>
      </c>
      <c r="Q127" s="7">
        <f t="shared" si="71"/>
        <v>525884</v>
      </c>
      <c r="R127" s="6">
        <f t="shared" si="61"/>
        <v>13095</v>
      </c>
      <c r="S127" s="6"/>
      <c r="U127" s="13"/>
    </row>
    <row r="128" spans="1:23">
      <c r="A128" s="5" t="str">
        <f t="shared" si="69"/>
        <v>396</v>
      </c>
      <c r="C128" s="11" t="s">
        <v>73</v>
      </c>
      <c r="D128" s="437" t="str">
        <f t="shared" si="70"/>
        <v>39600000</v>
      </c>
      <c r="E128" s="10"/>
      <c r="F128" s="5" t="s">
        <v>978</v>
      </c>
      <c r="G128" s="12">
        <f>IFERROR(VLOOKUP($D128,'4. New Depr Rates'!$R$8:$W$69,2,FALSE),0)</f>
        <v>2.7099999999999999E-2</v>
      </c>
      <c r="H128" s="12">
        <f>IFERROR(VLOOKUP($D128,'4. New Depr Rates'!$R$8:$W$69,4,FALSE),0)</f>
        <v>-2.1999999999999975E-3</v>
      </c>
      <c r="I128" s="12">
        <f>IFERROR(VLOOKUP($D128,'4. New Depr Rates'!$R$8:$W$69,6,FALSE),0)</f>
        <v>2.4900000000000002E-2</v>
      </c>
      <c r="J128" s="661">
        <f>IFERROR(VLOOKUP($F128,'1. BI Page 204-207'!$F$7:$L$148,7,FALSE),0)</f>
        <v>515423.56</v>
      </c>
      <c r="K128" s="6"/>
      <c r="L128" s="6"/>
      <c r="M128" s="6"/>
      <c r="N128" s="6"/>
      <c r="O128" s="6"/>
      <c r="P128" s="6">
        <f>IFERROR(VLOOKUP(F128,'9. Retirements'!$B$6:$C$57,2,FALSE),)</f>
        <v>-6390.33</v>
      </c>
      <c r="Q128" s="7">
        <f t="shared" si="71"/>
        <v>509033.23</v>
      </c>
      <c r="R128" s="6">
        <f t="shared" si="61"/>
        <v>12675</v>
      </c>
      <c r="S128" s="6"/>
      <c r="U128" s="13"/>
    </row>
    <row r="129" spans="1:30">
      <c r="A129" s="5" t="str">
        <f t="shared" si="69"/>
        <v>396</v>
      </c>
      <c r="C129" s="11" t="s">
        <v>73</v>
      </c>
      <c r="D129" s="437" t="str">
        <f t="shared" si="70"/>
        <v>39600000</v>
      </c>
      <c r="E129" s="10"/>
      <c r="F129" s="5" t="s">
        <v>979</v>
      </c>
      <c r="G129" s="12">
        <f>IFERROR(VLOOKUP($D129,'4. New Depr Rates'!$R$8:$W$69,2,FALSE),0)</f>
        <v>2.7099999999999999E-2</v>
      </c>
      <c r="H129" s="12">
        <f>IFERROR(VLOOKUP($D129,'4. New Depr Rates'!$R$8:$W$69,4,FALSE),0)</f>
        <v>-2.1999999999999975E-3</v>
      </c>
      <c r="I129" s="12">
        <f>IFERROR(VLOOKUP($D129,'4. New Depr Rates'!$R$8:$W$69,6,FALSE),0)</f>
        <v>2.4900000000000002E-2</v>
      </c>
      <c r="J129" s="661">
        <f>IFERROR(VLOOKUP($F129,'1. BI Page 204-207'!$F$7:$L$148,7,FALSE),0)</f>
        <v>283593.89</v>
      </c>
      <c r="K129" s="6"/>
      <c r="L129" s="6"/>
      <c r="M129" s="6"/>
      <c r="N129" s="6"/>
      <c r="O129" s="6"/>
      <c r="P129" s="6">
        <f>IFERROR(VLOOKUP(F129,'9. Retirements'!$B$6:$C$57,2,FALSE),)</f>
        <v>-7171.24</v>
      </c>
      <c r="Q129" s="7">
        <f t="shared" si="71"/>
        <v>276422.65000000002</v>
      </c>
      <c r="R129" s="6">
        <f t="shared" si="61"/>
        <v>6883</v>
      </c>
      <c r="S129" s="6"/>
      <c r="U129" s="13"/>
    </row>
    <row r="130" spans="1:30">
      <c r="A130" s="5" t="str">
        <f t="shared" si="69"/>
        <v>396</v>
      </c>
      <c r="C130" s="11" t="s">
        <v>73</v>
      </c>
      <c r="D130" s="437" t="str">
        <f t="shared" si="70"/>
        <v>39600000</v>
      </c>
      <c r="E130" s="10"/>
      <c r="F130" s="5" t="s">
        <v>980</v>
      </c>
      <c r="G130" s="12">
        <f>IFERROR(VLOOKUP($D130,'4. New Depr Rates'!$R$8:$W$69,2,FALSE),0)</f>
        <v>2.7099999999999999E-2</v>
      </c>
      <c r="H130" s="12">
        <f>IFERROR(VLOOKUP($D130,'4. New Depr Rates'!$R$8:$W$69,4,FALSE),0)</f>
        <v>-2.1999999999999975E-3</v>
      </c>
      <c r="I130" s="12">
        <f>IFERROR(VLOOKUP($D130,'4. New Depr Rates'!$R$8:$W$69,6,FALSE),0)</f>
        <v>2.4900000000000002E-2</v>
      </c>
      <c r="J130" s="661">
        <f>IFERROR(VLOOKUP($F130,'1. BI Page 204-207'!$F$7:$L$148,7,FALSE),0)</f>
        <v>821131.76</v>
      </c>
      <c r="K130" s="6"/>
      <c r="L130" s="6"/>
      <c r="M130" s="6"/>
      <c r="N130" s="6"/>
      <c r="O130" s="6"/>
      <c r="P130" s="6">
        <f>IFERROR(VLOOKUP(F130,'9. Retirements'!$B$6:$C$57,2,FALSE),)</f>
        <v>0</v>
      </c>
      <c r="Q130" s="7">
        <f t="shared" si="71"/>
        <v>821131.76</v>
      </c>
      <c r="R130" s="6">
        <f t="shared" si="61"/>
        <v>20446</v>
      </c>
      <c r="S130" s="6"/>
      <c r="U130" s="13"/>
    </row>
    <row r="131" spans="1:30">
      <c r="A131" s="5" t="str">
        <f t="shared" si="69"/>
        <v>396</v>
      </c>
      <c r="C131" s="11" t="s">
        <v>73</v>
      </c>
      <c r="D131" s="437" t="str">
        <f t="shared" si="70"/>
        <v>39600000</v>
      </c>
      <c r="E131" s="10"/>
      <c r="F131" s="5" t="s">
        <v>981</v>
      </c>
      <c r="G131" s="12">
        <f>IFERROR(VLOOKUP($D131,'4. New Depr Rates'!$R$8:$W$69,2,FALSE),0)</f>
        <v>2.7099999999999999E-2</v>
      </c>
      <c r="H131" s="12">
        <f>IFERROR(VLOOKUP($D131,'4. New Depr Rates'!$R$8:$W$69,4,FALSE),0)</f>
        <v>-2.1999999999999975E-3</v>
      </c>
      <c r="I131" s="12">
        <f>IFERROR(VLOOKUP($D131,'4. New Depr Rates'!$R$8:$W$69,6,FALSE),0)</f>
        <v>2.4900000000000002E-2</v>
      </c>
      <c r="J131" s="661">
        <f>IFERROR(VLOOKUP($F131,'1. BI Page 204-207'!$F$7:$L$148,7,FALSE),0)</f>
        <v>224695.4</v>
      </c>
      <c r="K131" s="6"/>
      <c r="L131" s="6"/>
      <c r="M131" s="6"/>
      <c r="N131" s="6"/>
      <c r="O131" s="6"/>
      <c r="P131" s="6">
        <f>IFERROR(VLOOKUP(F131,'9. Retirements'!$B$6:$C$57,2,FALSE),)</f>
        <v>0</v>
      </c>
      <c r="Q131" s="7">
        <f t="shared" si="71"/>
        <v>224695.4</v>
      </c>
      <c r="R131" s="6">
        <f t="shared" si="61"/>
        <v>5595</v>
      </c>
      <c r="S131" s="6"/>
      <c r="U131" s="13"/>
    </row>
    <row r="132" spans="1:30">
      <c r="A132" s="5" t="str">
        <f t="shared" si="69"/>
        <v>396</v>
      </c>
      <c r="C132" s="11" t="s">
        <v>73</v>
      </c>
      <c r="D132" s="437" t="str">
        <f t="shared" si="70"/>
        <v>39600000</v>
      </c>
      <c r="E132" s="10"/>
      <c r="F132" s="5" t="s">
        <v>982</v>
      </c>
      <c r="G132" s="12">
        <f>IFERROR(VLOOKUP($D132,'4. New Depr Rates'!$R$8:$W$69,2,FALSE),0)</f>
        <v>2.7099999999999999E-2</v>
      </c>
      <c r="H132" s="12">
        <f>IFERROR(VLOOKUP($D132,'4. New Depr Rates'!$R$8:$W$69,4,FALSE),0)</f>
        <v>-2.1999999999999975E-3</v>
      </c>
      <c r="I132" s="12">
        <f>IFERROR(VLOOKUP($D132,'4. New Depr Rates'!$R$8:$W$69,6,FALSE),0)</f>
        <v>2.4900000000000002E-2</v>
      </c>
      <c r="J132" s="661">
        <f>IFERROR(VLOOKUP($F132,'1. BI Page 204-207'!$F$7:$L$148,7,FALSE),0)</f>
        <v>465375.66</v>
      </c>
      <c r="K132" s="6"/>
      <c r="L132" s="6"/>
      <c r="M132" s="6"/>
      <c r="N132" s="6"/>
      <c r="O132" s="6"/>
      <c r="P132" s="6">
        <f>IFERROR(VLOOKUP(F132,'9. Retirements'!$B$6:$C$57,2,FALSE),)</f>
        <v>-10685.27</v>
      </c>
      <c r="Q132" s="7">
        <f t="shared" si="71"/>
        <v>454690.38999999996</v>
      </c>
      <c r="R132" s="6">
        <f t="shared" si="61"/>
        <v>11322</v>
      </c>
      <c r="S132" s="6"/>
      <c r="U132" s="13"/>
    </row>
    <row r="133" spans="1:30">
      <c r="A133" s="5" t="str">
        <f t="shared" si="69"/>
        <v>396</v>
      </c>
      <c r="C133" s="11" t="s">
        <v>73</v>
      </c>
      <c r="D133" s="437" t="str">
        <f t="shared" si="70"/>
        <v>39600000</v>
      </c>
      <c r="E133" s="10"/>
      <c r="F133" s="5" t="s">
        <v>983</v>
      </c>
      <c r="G133" s="12">
        <f>IFERROR(VLOOKUP($D133,'4. New Depr Rates'!$R$8:$W$69,2,FALSE),0)</f>
        <v>2.7099999999999999E-2</v>
      </c>
      <c r="H133" s="12">
        <f>IFERROR(VLOOKUP($D133,'4. New Depr Rates'!$R$8:$W$69,4,FALSE),0)</f>
        <v>-2.1999999999999975E-3</v>
      </c>
      <c r="I133" s="12">
        <f>IFERROR(VLOOKUP($D133,'4. New Depr Rates'!$R$8:$W$69,6,FALSE),0)</f>
        <v>2.4900000000000002E-2</v>
      </c>
      <c r="J133" s="661">
        <f>IFERROR(VLOOKUP($F133,'1. BI Page 204-207'!$F$7:$L$148,7,FALSE),0)</f>
        <v>2728.11</v>
      </c>
      <c r="K133" s="6"/>
      <c r="L133" s="6"/>
      <c r="M133" s="6"/>
      <c r="N133" s="6"/>
      <c r="O133" s="6"/>
      <c r="P133" s="6">
        <f>IFERROR(VLOOKUP(F133,'9. Retirements'!$B$6:$C$57,2,FALSE),)</f>
        <v>0</v>
      </c>
      <c r="Q133" s="7">
        <f t="shared" si="71"/>
        <v>2728.11</v>
      </c>
      <c r="R133" s="6">
        <f t="shared" si="61"/>
        <v>68</v>
      </c>
      <c r="S133" s="6"/>
      <c r="U133" s="13"/>
    </row>
    <row r="134" spans="1:30">
      <c r="A134" s="8"/>
      <c r="B134" s="8"/>
      <c r="C134" s="8"/>
      <c r="D134" s="8"/>
      <c r="E134" s="8" t="s">
        <v>973</v>
      </c>
      <c r="F134" s="8" t="str">
        <f>MID(E134,2,3)</f>
        <v>396</v>
      </c>
      <c r="G134" s="8"/>
      <c r="H134" s="8"/>
      <c r="I134" s="8"/>
      <c r="J134" s="293">
        <f t="shared" ref="J134:R134" si="72">SUM(J125:J133)</f>
        <v>3800165.7199999997</v>
      </c>
      <c r="K134" s="293">
        <f t="shared" si="72"/>
        <v>0</v>
      </c>
      <c r="L134" s="293">
        <f t="shared" si="72"/>
        <v>0</v>
      </c>
      <c r="M134" s="293">
        <f t="shared" si="72"/>
        <v>0</v>
      </c>
      <c r="N134" s="293">
        <f t="shared" si="72"/>
        <v>0</v>
      </c>
      <c r="O134" s="293">
        <f t="shared" si="72"/>
        <v>0</v>
      </c>
      <c r="P134" s="293">
        <f t="shared" si="72"/>
        <v>-39960.06</v>
      </c>
      <c r="Q134" s="293">
        <f t="shared" si="72"/>
        <v>3760205.6599999997</v>
      </c>
      <c r="R134" s="293">
        <f t="shared" si="72"/>
        <v>93630</v>
      </c>
      <c r="S134" s="292">
        <f>'3. Depreciation Expense Dtl'!O43</f>
        <v>132961</v>
      </c>
      <c r="T134" s="292">
        <f>R134-S134</f>
        <v>-39331</v>
      </c>
      <c r="U134" s="13" t="s">
        <v>1266</v>
      </c>
      <c r="V134" s="669" t="str">
        <f>LEFT(E134,4)</f>
        <v>G396</v>
      </c>
    </row>
    <row r="135" spans="1:30">
      <c r="A135" s="5" t="str">
        <f>MID(F135,3,3)</f>
        <v>397</v>
      </c>
      <c r="C135" s="11" t="s">
        <v>73</v>
      </c>
      <c r="D135" s="437" t="str">
        <f>CONCATENATE(A135,C135)</f>
        <v>39700000</v>
      </c>
      <c r="E135" s="10" t="s">
        <v>948</v>
      </c>
      <c r="F135" s="5" t="s">
        <v>984</v>
      </c>
      <c r="G135" s="12">
        <f>IFERROR(VLOOKUP($D135,'4. New Depr Rates'!$R$8:$W$69,2,FALSE),0)</f>
        <v>6.6699999999999995E-2</v>
      </c>
      <c r="H135" s="12">
        <f>IFERROR(VLOOKUP($D135,'4. New Depr Rates'!$R$8:$W$69,4,FALSE),0)</f>
        <v>0</v>
      </c>
      <c r="I135" s="12">
        <f>IFERROR(VLOOKUP($D135,'4. New Depr Rates'!$R$8:$W$69,6,FALSE),0)</f>
        <v>6.6699999999999995E-2</v>
      </c>
      <c r="J135" s="561">
        <f>SUM('1. BI Page 204-207'!L117:L123)</f>
        <v>4330268.4400000004</v>
      </c>
      <c r="K135" s="6">
        <f>'2. Post Test Year_Pivot'!E20</f>
        <v>2354855</v>
      </c>
      <c r="L135" s="6"/>
      <c r="M135" s="6"/>
      <c r="N135" s="6"/>
      <c r="O135" s="6"/>
      <c r="P135" s="6">
        <f>IFERROR(VLOOKUP(F135,'9. Retirements'!$B$6:$C$57,2,FALSE),)</f>
        <v>-29885.360000000001</v>
      </c>
      <c r="Q135" s="7">
        <f>SUM(J135:P135)</f>
        <v>6655238.0800000001</v>
      </c>
      <c r="R135" s="6">
        <f t="shared" si="61"/>
        <v>443904</v>
      </c>
      <c r="S135" s="6"/>
      <c r="U135" s="13"/>
    </row>
    <row r="136" spans="1:30">
      <c r="A136" s="8"/>
      <c r="B136" s="8"/>
      <c r="C136" s="8"/>
      <c r="D136" s="8"/>
      <c r="E136" s="8" t="s">
        <v>985</v>
      </c>
      <c r="F136" s="8" t="str">
        <f>MID(E136,2,3)</f>
        <v>397</v>
      </c>
      <c r="G136" s="8"/>
      <c r="H136" s="8"/>
      <c r="I136" s="8"/>
      <c r="J136" s="293">
        <f>SUM(J135:J135)</f>
        <v>4330268.4400000004</v>
      </c>
      <c r="K136" s="293">
        <f t="shared" ref="K136:R136" si="73">SUM(K135:K135)</f>
        <v>2354855</v>
      </c>
      <c r="L136" s="293">
        <f t="shared" si="73"/>
        <v>0</v>
      </c>
      <c r="M136" s="293">
        <f t="shared" si="73"/>
        <v>0</v>
      </c>
      <c r="N136" s="293">
        <f t="shared" si="73"/>
        <v>0</v>
      </c>
      <c r="O136" s="293">
        <f t="shared" si="73"/>
        <v>0</v>
      </c>
      <c r="P136" s="293">
        <f t="shared" si="73"/>
        <v>-29885.360000000001</v>
      </c>
      <c r="Q136" s="293">
        <f t="shared" si="73"/>
        <v>6655238.0800000001</v>
      </c>
      <c r="R136" s="293">
        <f t="shared" si="73"/>
        <v>443904</v>
      </c>
      <c r="S136" s="292">
        <f>'3. Depreciation Expense Dtl'!O44</f>
        <v>287050</v>
      </c>
      <c r="T136" s="292">
        <f>R136-S136</f>
        <v>156854</v>
      </c>
      <c r="U136" s="13" t="s">
        <v>1224</v>
      </c>
      <c r="V136" s="669" t="str">
        <f>LEFT(E136,4)</f>
        <v>G397</v>
      </c>
      <c r="X136" s="672">
        <f>K135*I135</f>
        <v>157068.8285</v>
      </c>
      <c r="AA136" s="672">
        <f>Y136+X136-W136</f>
        <v>157068.8285</v>
      </c>
      <c r="AC136" s="262">
        <f>AA136+AB136</f>
        <v>157068.8285</v>
      </c>
      <c r="AD136" s="670" t="s">
        <v>1380</v>
      </c>
    </row>
    <row r="137" spans="1:30">
      <c r="A137" s="5" t="str">
        <f t="shared" ref="A137:A143" si="74">MID(F137,3,3)</f>
        <v>398</v>
      </c>
      <c r="C137" s="11" t="s">
        <v>73</v>
      </c>
      <c r="D137" s="437" t="str">
        <f t="shared" ref="D137:D143" si="75">CONCATENATE(A137,C137)</f>
        <v>39800000</v>
      </c>
      <c r="E137" s="10" t="s">
        <v>949</v>
      </c>
      <c r="F137" s="5" t="s">
        <v>987</v>
      </c>
      <c r="G137" s="12">
        <f>IFERROR(VLOOKUP($D137,'4. New Depr Rates'!$R$8:$W$69,2,FALSE),0)</f>
        <v>0.04</v>
      </c>
      <c r="H137" s="12">
        <f>IFERROR(VLOOKUP($D137,'4. New Depr Rates'!$R$8:$W$69,4,FALSE),0)</f>
        <v>0</v>
      </c>
      <c r="I137" s="12">
        <f>IFERROR(VLOOKUP($D137,'4. New Depr Rates'!$R$8:$W$69,6,FALSE),0)</f>
        <v>0.04</v>
      </c>
      <c r="J137" s="661">
        <f>IFERROR(VLOOKUP($F137,'1. BI Page 204-207'!$F$7:$L$148,7,FALSE),0)</f>
        <v>54772.38</v>
      </c>
      <c r="K137" s="6"/>
      <c r="L137" s="6"/>
      <c r="M137" s="6"/>
      <c r="N137" s="6"/>
      <c r="O137" s="6"/>
      <c r="P137" s="6">
        <f>IFERROR(VLOOKUP(F137,'9. Retirements'!$B$6:$C$57,2,FALSE),)</f>
        <v>-2573.52</v>
      </c>
      <c r="Q137" s="7">
        <f t="shared" ref="Q137:Q143" si="76">SUM(J137:P137)</f>
        <v>52198.86</v>
      </c>
      <c r="R137" s="6">
        <f t="shared" si="61"/>
        <v>2088</v>
      </c>
      <c r="S137" s="6"/>
      <c r="U137" s="13"/>
    </row>
    <row r="138" spans="1:30">
      <c r="A138" s="5" t="str">
        <f t="shared" si="74"/>
        <v>398</v>
      </c>
      <c r="C138" s="11" t="s">
        <v>73</v>
      </c>
      <c r="D138" s="437" t="str">
        <f t="shared" si="75"/>
        <v>39800000</v>
      </c>
      <c r="E138" s="10"/>
      <c r="F138" s="5" t="s">
        <v>988</v>
      </c>
      <c r="G138" s="12">
        <f>IFERROR(VLOOKUP($D138,'4. New Depr Rates'!$R$8:$W$69,2,FALSE),0)</f>
        <v>0.04</v>
      </c>
      <c r="H138" s="12">
        <f>IFERROR(VLOOKUP($D138,'4. New Depr Rates'!$R$8:$W$69,4,FALSE),0)</f>
        <v>0</v>
      </c>
      <c r="I138" s="12">
        <f>IFERROR(VLOOKUP($D138,'4. New Depr Rates'!$R$8:$W$69,6,FALSE),0)</f>
        <v>0.04</v>
      </c>
      <c r="J138" s="661">
        <f>IFERROR(VLOOKUP($F138,'1. BI Page 204-207'!$F$7:$L$148,7,FALSE),0)</f>
        <v>9486.91</v>
      </c>
      <c r="K138" s="6"/>
      <c r="L138" s="6"/>
      <c r="M138" s="6"/>
      <c r="N138" s="6"/>
      <c r="O138" s="6"/>
      <c r="P138" s="6">
        <f>IFERROR(VLOOKUP(F138,'9. Retirements'!$B$6:$C$57,2,FALSE),)</f>
        <v>-9486.91</v>
      </c>
      <c r="Q138" s="7">
        <f t="shared" si="76"/>
        <v>0</v>
      </c>
      <c r="R138" s="6">
        <f t="shared" si="61"/>
        <v>0</v>
      </c>
      <c r="S138" s="6"/>
      <c r="U138" s="13"/>
    </row>
    <row r="139" spans="1:30">
      <c r="A139" s="5" t="str">
        <f t="shared" si="74"/>
        <v>398</v>
      </c>
      <c r="C139" s="11" t="s">
        <v>73</v>
      </c>
      <c r="D139" s="437" t="str">
        <f t="shared" si="75"/>
        <v>39800000</v>
      </c>
      <c r="E139" s="10"/>
      <c r="F139" s="5" t="s">
        <v>989</v>
      </c>
      <c r="G139" s="12">
        <f>IFERROR(VLOOKUP($D139,'4. New Depr Rates'!$R$8:$W$69,2,FALSE),0)</f>
        <v>0.04</v>
      </c>
      <c r="H139" s="12">
        <f>IFERROR(VLOOKUP($D139,'4. New Depr Rates'!$R$8:$W$69,4,FALSE),0)</f>
        <v>0</v>
      </c>
      <c r="I139" s="12">
        <f>IFERROR(VLOOKUP($D139,'4. New Depr Rates'!$R$8:$W$69,6,FALSE),0)</f>
        <v>0.04</v>
      </c>
      <c r="J139" s="661">
        <f>IFERROR(VLOOKUP($F139,'1. BI Page 204-207'!$F$7:$L$148,7,FALSE),0)</f>
        <v>5946.5</v>
      </c>
      <c r="K139" s="6"/>
      <c r="L139" s="6"/>
      <c r="M139" s="6"/>
      <c r="N139" s="6"/>
      <c r="O139" s="6"/>
      <c r="P139" s="6">
        <f>IFERROR(VLOOKUP(F139,'9. Retirements'!$B$6:$C$57,2,FALSE),)</f>
        <v>0</v>
      </c>
      <c r="Q139" s="7">
        <f t="shared" si="76"/>
        <v>5946.5</v>
      </c>
      <c r="R139" s="6">
        <f t="shared" si="61"/>
        <v>238</v>
      </c>
      <c r="S139" s="6"/>
      <c r="U139" s="13"/>
    </row>
    <row r="140" spans="1:30">
      <c r="A140" s="5" t="str">
        <f t="shared" si="74"/>
        <v>398</v>
      </c>
      <c r="C140" s="11" t="s">
        <v>73</v>
      </c>
      <c r="D140" s="437" t="str">
        <f t="shared" si="75"/>
        <v>39800000</v>
      </c>
      <c r="E140" s="10"/>
      <c r="F140" s="5" t="s">
        <v>990</v>
      </c>
      <c r="G140" s="12">
        <f>IFERROR(VLOOKUP($D140,'4. New Depr Rates'!$R$8:$W$69,2,FALSE),0)</f>
        <v>0.04</v>
      </c>
      <c r="H140" s="12">
        <f>IFERROR(VLOOKUP($D140,'4. New Depr Rates'!$R$8:$W$69,4,FALSE),0)</f>
        <v>0</v>
      </c>
      <c r="I140" s="12">
        <f>IFERROR(VLOOKUP($D140,'4. New Depr Rates'!$R$8:$W$69,6,FALSE),0)</f>
        <v>0.04</v>
      </c>
      <c r="J140" s="661">
        <f>IFERROR(VLOOKUP($F140,'1. BI Page 204-207'!$F$7:$L$148,7,FALSE),0)</f>
        <v>15898.69</v>
      </c>
      <c r="K140" s="6"/>
      <c r="L140" s="6"/>
      <c r="M140" s="6"/>
      <c r="N140" s="6"/>
      <c r="O140" s="6"/>
      <c r="P140" s="6">
        <f>IFERROR(VLOOKUP(F140,'9. Retirements'!$B$6:$C$57,2,FALSE),)</f>
        <v>-5173.1099999999997</v>
      </c>
      <c r="Q140" s="7">
        <f t="shared" si="76"/>
        <v>10725.580000000002</v>
      </c>
      <c r="R140" s="6">
        <f t="shared" si="61"/>
        <v>429</v>
      </c>
      <c r="S140" s="6"/>
      <c r="U140" s="13"/>
    </row>
    <row r="141" spans="1:30">
      <c r="A141" s="5" t="str">
        <f t="shared" si="74"/>
        <v>398</v>
      </c>
      <c r="C141" s="11" t="s">
        <v>73</v>
      </c>
      <c r="D141" s="437" t="str">
        <f t="shared" si="75"/>
        <v>39800000</v>
      </c>
      <c r="E141" s="10"/>
      <c r="F141" s="5" t="s">
        <v>991</v>
      </c>
      <c r="G141" s="12">
        <f>IFERROR(VLOOKUP($D141,'4. New Depr Rates'!$R$8:$W$69,2,FALSE),0)</f>
        <v>0.04</v>
      </c>
      <c r="H141" s="12">
        <f>IFERROR(VLOOKUP($D141,'4. New Depr Rates'!$R$8:$W$69,4,FALSE),0)</f>
        <v>0</v>
      </c>
      <c r="I141" s="12">
        <f>IFERROR(VLOOKUP($D141,'4. New Depr Rates'!$R$8:$W$69,6,FALSE),0)</f>
        <v>0.04</v>
      </c>
      <c r="J141" s="661">
        <f>IFERROR(VLOOKUP($F141,'1. BI Page 204-207'!$F$7:$L$148,7,FALSE),0)</f>
        <v>77234.67</v>
      </c>
      <c r="K141" s="6"/>
      <c r="L141" s="6"/>
      <c r="M141" s="6"/>
      <c r="N141" s="6"/>
      <c r="O141" s="6"/>
      <c r="P141" s="6">
        <f>IFERROR(VLOOKUP(F141,'9. Retirements'!$B$6:$C$57,2,FALSE),)</f>
        <v>-5191.6099999999997</v>
      </c>
      <c r="Q141" s="7">
        <f t="shared" si="76"/>
        <v>72043.06</v>
      </c>
      <c r="R141" s="6">
        <f t="shared" si="61"/>
        <v>2882</v>
      </c>
      <c r="S141" s="6"/>
      <c r="U141" s="13"/>
    </row>
    <row r="142" spans="1:30">
      <c r="A142" s="5" t="str">
        <f t="shared" si="74"/>
        <v>398</v>
      </c>
      <c r="C142" s="11" t="s">
        <v>73</v>
      </c>
      <c r="D142" s="437" t="str">
        <f t="shared" si="75"/>
        <v>39800000</v>
      </c>
      <c r="E142" s="10"/>
      <c r="F142" s="5" t="s">
        <v>992</v>
      </c>
      <c r="G142" s="12">
        <f>IFERROR(VLOOKUP($D142,'4. New Depr Rates'!$R$8:$W$69,2,FALSE),0)</f>
        <v>0.04</v>
      </c>
      <c r="H142" s="12">
        <f>IFERROR(VLOOKUP($D142,'4. New Depr Rates'!$R$8:$W$69,4,FALSE),0)</f>
        <v>0</v>
      </c>
      <c r="I142" s="12">
        <f>IFERROR(VLOOKUP($D142,'4. New Depr Rates'!$R$8:$W$69,6,FALSE),0)</f>
        <v>0.04</v>
      </c>
      <c r="J142" s="661">
        <f>IFERROR(VLOOKUP($F142,'1. BI Page 204-207'!$F$7:$L$148,7,FALSE),0)</f>
        <v>2563.89</v>
      </c>
      <c r="K142" s="6"/>
      <c r="L142" s="6"/>
      <c r="M142" s="6"/>
      <c r="N142" s="6"/>
      <c r="O142" s="6"/>
      <c r="P142" s="6">
        <f>IFERROR(VLOOKUP(F142,'9. Retirements'!$B$6:$C$57,2,FALSE),)</f>
        <v>0</v>
      </c>
      <c r="Q142" s="7">
        <f t="shared" si="76"/>
        <v>2563.89</v>
      </c>
      <c r="R142" s="6">
        <f t="shared" si="61"/>
        <v>103</v>
      </c>
      <c r="S142" s="6"/>
      <c r="U142" s="13"/>
    </row>
    <row r="143" spans="1:30">
      <c r="A143" s="5" t="str">
        <f t="shared" si="74"/>
        <v>398</v>
      </c>
      <c r="C143" s="11" t="s">
        <v>73</v>
      </c>
      <c r="D143" s="437" t="str">
        <f t="shared" si="75"/>
        <v>39800000</v>
      </c>
      <c r="E143" s="10"/>
      <c r="F143" s="5" t="s">
        <v>994</v>
      </c>
      <c r="G143" s="12">
        <f>IFERROR(VLOOKUP($D143,'4. New Depr Rates'!$R$8:$W$69,2,FALSE),0)</f>
        <v>0.04</v>
      </c>
      <c r="H143" s="12">
        <f>IFERROR(VLOOKUP($D143,'4. New Depr Rates'!$R$8:$W$69,4,FALSE),0)</f>
        <v>0</v>
      </c>
      <c r="I143" s="12">
        <f>IFERROR(VLOOKUP($D143,'4. New Depr Rates'!$R$8:$W$69,6,FALSE),0)</f>
        <v>0.04</v>
      </c>
      <c r="J143" s="661">
        <f>IFERROR(VLOOKUP($F143,'1. BI Page 204-207'!$F$7:$L$148,7,FALSE),0)</f>
        <v>2781.26</v>
      </c>
      <c r="K143" s="6"/>
      <c r="L143" s="6"/>
      <c r="M143" s="6"/>
      <c r="N143" s="6"/>
      <c r="O143" s="6"/>
      <c r="P143" s="6">
        <f>IFERROR(VLOOKUP(F143,'9. Retirements'!$B$6:$C$57,2,FALSE),)</f>
        <v>-2781.26</v>
      </c>
      <c r="Q143" s="7">
        <f t="shared" si="76"/>
        <v>0</v>
      </c>
      <c r="R143" s="6">
        <f t="shared" si="61"/>
        <v>0</v>
      </c>
      <c r="S143" s="6"/>
      <c r="U143" s="13"/>
    </row>
    <row r="144" spans="1:30">
      <c r="A144" s="8"/>
      <c r="B144" s="8"/>
      <c r="C144" s="8"/>
      <c r="D144" s="8"/>
      <c r="E144" s="8" t="s">
        <v>1018</v>
      </c>
      <c r="F144" s="8" t="str">
        <f>MID(E144,2,3)</f>
        <v>398</v>
      </c>
      <c r="G144" s="8"/>
      <c r="H144" s="8"/>
      <c r="I144" s="8"/>
      <c r="J144" s="292">
        <f t="shared" ref="J144" si="77">SUM(J137:J143)</f>
        <v>168684.30000000002</v>
      </c>
      <c r="K144" s="292">
        <f t="shared" ref="K144:R144" si="78">SUM(K137:K143)</f>
        <v>0</v>
      </c>
      <c r="L144" s="292">
        <f t="shared" si="78"/>
        <v>0</v>
      </c>
      <c r="M144" s="292">
        <f t="shared" si="78"/>
        <v>0</v>
      </c>
      <c r="N144" s="292">
        <f t="shared" si="78"/>
        <v>0</v>
      </c>
      <c r="O144" s="292">
        <f t="shared" si="78"/>
        <v>0</v>
      </c>
      <c r="P144" s="292">
        <f t="shared" si="78"/>
        <v>-25206.410000000003</v>
      </c>
      <c r="Q144" s="292">
        <f t="shared" si="78"/>
        <v>143477.89000000001</v>
      </c>
      <c r="R144" s="292">
        <f t="shared" si="78"/>
        <v>5740</v>
      </c>
      <c r="S144" s="292">
        <f>'3. Depreciation Expense Dtl'!O45</f>
        <v>4923</v>
      </c>
      <c r="T144" s="292">
        <f>R144-S144</f>
        <v>817</v>
      </c>
      <c r="U144" s="13" t="s">
        <v>173</v>
      </c>
      <c r="V144" s="669" t="str">
        <f>LEFT(E144,4)</f>
        <v>G398</v>
      </c>
      <c r="W144" s="672">
        <f>'3. Depreciation Expense Dtl'!E45+'3. Depreciation Expense Dtl'!L45</f>
        <v>-1777.9199999999998</v>
      </c>
    </row>
    <row r="145" spans="1:23">
      <c r="A145" s="8"/>
      <c r="B145" s="8"/>
      <c r="C145" s="8"/>
      <c r="D145" s="8"/>
      <c r="E145" s="8" t="s">
        <v>141</v>
      </c>
      <c r="F145" s="8"/>
      <c r="G145" s="8"/>
      <c r="H145" s="8"/>
      <c r="I145" s="8"/>
      <c r="J145" s="292">
        <f t="shared" ref="J145:S145" si="79">SUM(J144,J136,J134,J124,J118,J105,J97,J89,J74,J60)</f>
        <v>68184119.959999993</v>
      </c>
      <c r="K145" s="292">
        <f t="shared" ref="K145:R145" si="80">SUM(K144,K136,K134,K124,K118,K105,K97,K89,K74,K60)</f>
        <v>3495145</v>
      </c>
      <c r="L145" s="292">
        <f t="shared" si="80"/>
        <v>0</v>
      </c>
      <c r="M145" s="292">
        <f t="shared" si="80"/>
        <v>0</v>
      </c>
      <c r="N145" s="292">
        <f t="shared" si="80"/>
        <v>0</v>
      </c>
      <c r="O145" s="292">
        <f t="shared" si="80"/>
        <v>0</v>
      </c>
      <c r="P145" s="292">
        <f t="shared" si="80"/>
        <v>-999301.58</v>
      </c>
      <c r="Q145" s="292">
        <f t="shared" si="80"/>
        <v>70679963.379999995</v>
      </c>
      <c r="R145" s="292">
        <f t="shared" si="80"/>
        <v>2316819</v>
      </c>
      <c r="S145" s="292">
        <f t="shared" si="79"/>
        <v>2275509</v>
      </c>
      <c r="T145" s="292">
        <f>R145-S145</f>
        <v>41310</v>
      </c>
      <c r="U145" s="13"/>
    </row>
    <row r="146" spans="1:23">
      <c r="A146" s="8"/>
      <c r="B146" s="8"/>
      <c r="C146" s="8"/>
      <c r="D146" s="8"/>
      <c r="E146" s="8" t="s">
        <v>78</v>
      </c>
      <c r="F146" s="8"/>
      <c r="G146" s="8"/>
      <c r="H146" s="8"/>
      <c r="I146" s="8"/>
      <c r="J146" s="292">
        <f t="shared" ref="J146" si="81">SUM(J145,J52,J23,J9)</f>
        <v>640439810.76999998</v>
      </c>
      <c r="K146" s="292">
        <f t="shared" ref="K146:R146" si="82">SUM(K145,K52,K23,K9)</f>
        <v>10538986</v>
      </c>
      <c r="L146" s="292">
        <f t="shared" si="82"/>
        <v>-43555</v>
      </c>
      <c r="M146" s="292">
        <f t="shared" si="82"/>
        <v>-12841090</v>
      </c>
      <c r="N146" s="292">
        <f t="shared" si="82"/>
        <v>-4406109.1145487009</v>
      </c>
      <c r="O146" s="292">
        <f t="shared" si="82"/>
        <v>-6070892.0699999994</v>
      </c>
      <c r="P146" s="292">
        <f t="shared" si="82"/>
        <v>-3020986.5100000002</v>
      </c>
      <c r="Q146" s="292">
        <f t="shared" si="82"/>
        <v>624596164.07545125</v>
      </c>
      <c r="R146" s="292">
        <f t="shared" si="82"/>
        <v>15427241</v>
      </c>
      <c r="S146" s="292">
        <f>SUM(S145,S52,S23,S9)</f>
        <v>15204261</v>
      </c>
      <c r="T146" s="292">
        <f>SUM(T145,T52,T23,T9)</f>
        <v>222980</v>
      </c>
      <c r="U146" s="13" t="s">
        <v>174</v>
      </c>
      <c r="W146" s="672">
        <f>SUM(W6:W144)</f>
        <v>-584838.16</v>
      </c>
    </row>
    <row r="147" spans="1:23">
      <c r="A147" s="8"/>
      <c r="B147" s="8"/>
      <c r="C147" s="8"/>
      <c r="D147" s="8"/>
      <c r="E147" s="8" t="s">
        <v>78</v>
      </c>
      <c r="F147" s="8" t="s">
        <v>138</v>
      </c>
      <c r="G147" s="8"/>
      <c r="H147" s="8"/>
      <c r="I147" s="8"/>
      <c r="J147" s="292">
        <f>ROUND('1. BI Page 204-207'!L150,0)</f>
        <v>640439811</v>
      </c>
      <c r="K147" s="292">
        <f>GETPIVOTDATA("JUL-26 thru DEC-26 Total",'2. Post Test Year_Pivot'!$A$3)</f>
        <v>10538986</v>
      </c>
      <c r="L147" s="292">
        <f>-'5. Fortis Merger Proforma'!B15</f>
        <v>-43555</v>
      </c>
      <c r="M147" s="479">
        <f>-'6. BuildOut Plant Proforma'!E29</f>
        <v>-12841090</v>
      </c>
      <c r="N147" s="479">
        <f>-'7. GoldenValley Pipeline Profor'!D10</f>
        <v>-4406109.1145487009</v>
      </c>
      <c r="O147" s="479">
        <f>-'8. Griffith Plant Proforma'!D13</f>
        <v>-6070892.0700000003</v>
      </c>
      <c r="P147" s="479">
        <f>'9. Retirements'!C58</f>
        <v>-3020986.5100000012</v>
      </c>
      <c r="Q147" s="292"/>
      <c r="R147" s="292"/>
      <c r="S147" s="292">
        <f>'3. Depreciation Expense Dtl'!O50</f>
        <v>15204261</v>
      </c>
      <c r="T147" s="292"/>
      <c r="U147" s="13"/>
    </row>
    <row r="148" spans="1:23" ht="45">
      <c r="E148" s="10" t="s">
        <v>142</v>
      </c>
      <c r="J148" s="294" t="s">
        <v>793</v>
      </c>
      <c r="K148" s="294" t="s">
        <v>93</v>
      </c>
      <c r="L148" s="294" t="s">
        <v>1152</v>
      </c>
      <c r="M148" s="294" t="s">
        <v>1288</v>
      </c>
      <c r="N148" s="294" t="s">
        <v>1284</v>
      </c>
      <c r="O148" s="294" t="s">
        <v>1287</v>
      </c>
      <c r="P148" s="294" t="s">
        <v>1406</v>
      </c>
      <c r="Q148" s="295" t="s">
        <v>75</v>
      </c>
      <c r="R148" s="295" t="s">
        <v>75</v>
      </c>
      <c r="S148" s="296" t="s">
        <v>1153</v>
      </c>
      <c r="T148" s="286">
        <f>R146-S146</f>
        <v>222980</v>
      </c>
      <c r="U148" s="13"/>
    </row>
    <row r="149" spans="1:23">
      <c r="J149" s="289" t="s">
        <v>106</v>
      </c>
      <c r="K149" s="289" t="s">
        <v>1292</v>
      </c>
      <c r="L149" s="289" t="s">
        <v>1374</v>
      </c>
      <c r="M149" s="289" t="s">
        <v>421</v>
      </c>
      <c r="N149" s="289" t="s">
        <v>789</v>
      </c>
      <c r="O149" s="289" t="s">
        <v>1285</v>
      </c>
      <c r="P149" s="289" t="s">
        <v>1411</v>
      </c>
      <c r="Q149" s="289"/>
      <c r="T149" s="297"/>
      <c r="U149" s="13"/>
    </row>
    <row r="150" spans="1:23">
      <c r="U150" s="441"/>
    </row>
    <row r="151" spans="1:23">
      <c r="A151" s="14" t="s">
        <v>1260</v>
      </c>
      <c r="J151" s="286">
        <f>J146-J147</f>
        <v>-0.23000001907348633</v>
      </c>
      <c r="K151" s="601">
        <f t="shared" ref="K151:S151" si="83">K146-K147</f>
        <v>0</v>
      </c>
      <c r="L151" s="601">
        <f t="shared" si="83"/>
        <v>0</v>
      </c>
      <c r="M151" s="601">
        <f t="shared" si="83"/>
        <v>0</v>
      </c>
      <c r="N151" s="601">
        <f t="shared" si="83"/>
        <v>0</v>
      </c>
      <c r="O151" s="601">
        <f t="shared" si="83"/>
        <v>0</v>
      </c>
      <c r="P151" s="601">
        <f t="shared" si="83"/>
        <v>0</v>
      </c>
      <c r="Q151" s="601"/>
      <c r="R151" s="601"/>
      <c r="S151" s="601">
        <f t="shared" si="83"/>
        <v>0</v>
      </c>
    </row>
    <row r="152" spans="1:23">
      <c r="A152" s="163" t="s">
        <v>1262</v>
      </c>
      <c r="B152" s="163"/>
      <c r="C152" s="163"/>
      <c r="D152" s="163"/>
      <c r="E152" s="163"/>
      <c r="F152" s="163"/>
      <c r="G152" s="163"/>
      <c r="H152" s="163"/>
      <c r="I152" s="163"/>
      <c r="J152" s="662"/>
      <c r="K152" s="163"/>
      <c r="T152" s="286" t="s">
        <v>70</v>
      </c>
    </row>
    <row r="153" spans="1:23">
      <c r="A153" s="159" t="s">
        <v>1261</v>
      </c>
      <c r="B153" s="159"/>
      <c r="C153" s="159"/>
      <c r="D153" s="159"/>
      <c r="E153" s="159"/>
      <c r="F153" s="159"/>
      <c r="G153" s="159"/>
      <c r="H153" s="159"/>
      <c r="I153" s="159"/>
      <c r="J153" s="663"/>
      <c r="K153" s="159"/>
    </row>
    <row r="154" spans="1:23">
      <c r="A154" s="434" t="s">
        <v>1263</v>
      </c>
      <c r="B154" s="434"/>
      <c r="C154" s="434"/>
      <c r="D154" s="434"/>
      <c r="E154" s="434"/>
      <c r="F154" s="434"/>
      <c r="G154" s="434"/>
      <c r="H154" s="434"/>
      <c r="I154" s="434"/>
      <c r="J154" s="664"/>
      <c r="K154" s="434"/>
    </row>
    <row r="155" spans="1:23">
      <c r="A155" s="437" t="s">
        <v>1259</v>
      </c>
      <c r="B155" s="437"/>
      <c r="C155" s="437"/>
      <c r="D155" s="437"/>
      <c r="E155" s="437"/>
      <c r="F155" s="437"/>
      <c r="G155" s="437"/>
      <c r="H155" s="437"/>
      <c r="I155" s="437"/>
      <c r="J155" s="665"/>
      <c r="K155" s="437"/>
    </row>
    <row r="156" spans="1:23">
      <c r="A156" s="438" t="s">
        <v>1297</v>
      </c>
      <c r="B156" s="438"/>
      <c r="C156" s="438"/>
      <c r="D156" s="438"/>
      <c r="E156" s="438"/>
      <c r="F156" s="438"/>
      <c r="G156" s="438"/>
      <c r="H156" s="438"/>
      <c r="I156" s="438"/>
      <c r="J156" s="666"/>
      <c r="K156" s="438"/>
    </row>
    <row r="157" spans="1:23">
      <c r="A157" s="560" t="s">
        <v>1308</v>
      </c>
      <c r="B157" s="560"/>
      <c r="C157" s="560"/>
      <c r="D157" s="560"/>
      <c r="E157" s="560"/>
      <c r="F157" s="560"/>
      <c r="G157" s="560"/>
      <c r="H157" s="560"/>
      <c r="I157" s="560"/>
      <c r="J157" s="561"/>
      <c r="K157" s="561"/>
    </row>
  </sheetData>
  <autoFilter ref="A4:W149" xr:uid="{00000000-0001-0000-0100-000000000000}"/>
  <sortState xmlns:xlrd2="http://schemas.microsoft.com/office/spreadsheetml/2017/richdata2" ref="F5:T6">
    <sortCondition ref="F5"/>
  </sortState>
  <mergeCells count="2">
    <mergeCell ref="G3:I3"/>
    <mergeCell ref="K3:Q3"/>
  </mergeCells>
  <phoneticPr fontId="61" type="noConversion"/>
  <pageMargins left="0" right="0" top="0.25" bottom="0.5" header="0.3" footer="0.05"/>
  <pageSetup paperSize="5" scale="91" fitToHeight="0" orientation="landscape" r:id="rId1"/>
  <headerFooter>
    <oddFooter>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M152"/>
  <sheetViews>
    <sheetView showGridLines="0" zoomScaleNormal="100" workbookViewId="0">
      <pane ySplit="7" topLeftCell="A44" activePane="bottomLeft" state="frozen"/>
      <selection pane="bottomLeft" activeCell="S39" sqref="S39"/>
    </sheetView>
  </sheetViews>
  <sheetFormatPr defaultRowHeight="15"/>
  <cols>
    <col min="1" max="1" width="7.140625" customWidth="1"/>
    <col min="2" max="2" width="20" customWidth="1"/>
    <col min="3" max="3" width="24.85546875" bestFit="1" customWidth="1"/>
    <col min="4" max="4" width="6.7109375" customWidth="1"/>
    <col min="5" max="5" width="25.85546875" bestFit="1" customWidth="1"/>
    <col min="6" max="6" width="16.42578125" customWidth="1"/>
    <col min="7" max="7" width="15.5703125" bestFit="1" customWidth="1"/>
    <col min="8" max="8" width="14.140625" bestFit="1" customWidth="1"/>
    <col min="9" max="9" width="14" bestFit="1" customWidth="1"/>
    <col min="10" max="10" width="10.85546875" bestFit="1" customWidth="1"/>
    <col min="11" max="11" width="8.85546875" bestFit="1" customWidth="1"/>
    <col min="12" max="12" width="15.28515625" bestFit="1" customWidth="1"/>
    <col min="13" max="13" width="12.42578125" bestFit="1" customWidth="1"/>
  </cols>
  <sheetData>
    <row r="1" spans="1:12" ht="15" customHeight="1">
      <c r="A1" s="354" t="s">
        <v>234</v>
      </c>
      <c r="B1" s="354"/>
      <c r="C1" s="558"/>
      <c r="D1" s="558"/>
      <c r="E1" s="558"/>
      <c r="F1" s="558"/>
    </row>
    <row r="2" spans="1:12" ht="15" customHeight="1">
      <c r="A2" s="355" t="s">
        <v>1294</v>
      </c>
      <c r="B2" s="355"/>
      <c r="C2" s="559"/>
      <c r="D2" s="559"/>
      <c r="E2" s="559"/>
      <c r="F2" s="559"/>
    </row>
    <row r="3" spans="1:12">
      <c r="A3" s="284" t="s">
        <v>235</v>
      </c>
    </row>
    <row r="4" spans="1:12">
      <c r="A4" s="284"/>
      <c r="B4" s="285" t="s">
        <v>236</v>
      </c>
    </row>
    <row r="5" spans="1:12">
      <c r="A5" s="353" t="s">
        <v>237</v>
      </c>
      <c r="B5" s="285" t="s">
        <v>1020</v>
      </c>
    </row>
    <row r="6" spans="1:12">
      <c r="A6" s="284" t="s">
        <v>235</v>
      </c>
    </row>
    <row r="7" spans="1:12" ht="45">
      <c r="A7" s="268" t="s">
        <v>238</v>
      </c>
      <c r="B7" s="268" t="s">
        <v>240</v>
      </c>
      <c r="C7" s="547" t="s">
        <v>241</v>
      </c>
      <c r="D7" s="547" t="s">
        <v>74</v>
      </c>
      <c r="E7" s="547" t="s">
        <v>242</v>
      </c>
      <c r="F7" s="547" t="s">
        <v>243</v>
      </c>
      <c r="G7" s="547" t="s">
        <v>1295</v>
      </c>
      <c r="H7" s="547" t="s">
        <v>244</v>
      </c>
      <c r="I7" s="547" t="s">
        <v>245</v>
      </c>
      <c r="J7" s="547" t="s">
        <v>246</v>
      </c>
      <c r="K7" s="547" t="s">
        <v>247</v>
      </c>
      <c r="L7" s="548" t="s">
        <v>1303</v>
      </c>
    </row>
    <row r="8" spans="1:12">
      <c r="A8" s="171" t="s">
        <v>1022</v>
      </c>
      <c r="B8" s="171" t="s">
        <v>1023</v>
      </c>
      <c r="C8" s="549" t="s">
        <v>1024</v>
      </c>
      <c r="D8" s="549" t="s">
        <v>1094</v>
      </c>
      <c r="E8" s="549" t="s">
        <v>1095</v>
      </c>
      <c r="F8" s="549" t="s">
        <v>1296</v>
      </c>
      <c r="G8" s="523"/>
      <c r="H8" s="550">
        <v>57223.63</v>
      </c>
      <c r="I8" s="523"/>
      <c r="J8" s="550">
        <v>5000</v>
      </c>
      <c r="K8" s="523"/>
      <c r="L8" s="551">
        <v>62223.63</v>
      </c>
    </row>
    <row r="9" spans="1:12">
      <c r="A9" s="171" t="s">
        <v>1022</v>
      </c>
      <c r="B9" s="171" t="s">
        <v>1023</v>
      </c>
      <c r="C9" s="549" t="s">
        <v>1024</v>
      </c>
      <c r="D9" s="549" t="s">
        <v>252</v>
      </c>
      <c r="E9" s="549" t="s">
        <v>253</v>
      </c>
      <c r="F9" s="549" t="s">
        <v>860</v>
      </c>
      <c r="G9" s="550">
        <v>96764.43</v>
      </c>
      <c r="H9" s="523"/>
      <c r="I9" s="523"/>
      <c r="J9" s="523"/>
      <c r="K9" s="523"/>
      <c r="L9" s="551">
        <v>96764.43</v>
      </c>
    </row>
    <row r="10" spans="1:12">
      <c r="A10" s="171" t="s">
        <v>1022</v>
      </c>
      <c r="B10" s="171" t="s">
        <v>1023</v>
      </c>
      <c r="C10" s="549" t="s">
        <v>1024</v>
      </c>
      <c r="D10" s="549" t="s">
        <v>256</v>
      </c>
      <c r="E10" s="549" t="s">
        <v>257</v>
      </c>
      <c r="F10" s="549" t="s">
        <v>862</v>
      </c>
      <c r="G10" s="550">
        <v>74403.67</v>
      </c>
      <c r="H10" s="523"/>
      <c r="I10" s="523"/>
      <c r="J10" s="523"/>
      <c r="K10" s="523"/>
      <c r="L10" s="551">
        <v>74403.67</v>
      </c>
    </row>
    <row r="11" spans="1:12">
      <c r="A11" s="171" t="s">
        <v>1022</v>
      </c>
      <c r="B11" s="171" t="s">
        <v>1023</v>
      </c>
      <c r="C11" s="549" t="s">
        <v>1024</v>
      </c>
      <c r="D11" s="549" t="s">
        <v>254</v>
      </c>
      <c r="E11" s="549" t="s">
        <v>255</v>
      </c>
      <c r="F11" s="549" t="s">
        <v>861</v>
      </c>
      <c r="G11" s="550">
        <v>340245.64</v>
      </c>
      <c r="H11" s="550">
        <v>-55512.63</v>
      </c>
      <c r="I11" s="550">
        <v>-1705.52</v>
      </c>
      <c r="J11" s="523"/>
      <c r="K11" s="523"/>
      <c r="L11" s="551">
        <v>283027.49</v>
      </c>
    </row>
    <row r="12" spans="1:12">
      <c r="A12" s="171" t="s">
        <v>1022</v>
      </c>
      <c r="B12" s="171" t="s">
        <v>1023</v>
      </c>
      <c r="C12" s="549" t="s">
        <v>1024</v>
      </c>
      <c r="D12" s="549" t="s">
        <v>248</v>
      </c>
      <c r="E12" s="549" t="s">
        <v>249</v>
      </c>
      <c r="F12" s="549" t="s">
        <v>863</v>
      </c>
      <c r="G12" s="550">
        <v>10928.54</v>
      </c>
      <c r="H12" s="523"/>
      <c r="I12" s="550">
        <v>-5928.54</v>
      </c>
      <c r="J12" s="550">
        <v>-5000</v>
      </c>
      <c r="K12" s="523"/>
      <c r="L12" s="551">
        <v>0</v>
      </c>
    </row>
    <row r="13" spans="1:12">
      <c r="A13" s="171" t="s">
        <v>1022</v>
      </c>
      <c r="B13" s="171" t="s">
        <v>1023</v>
      </c>
      <c r="C13" s="549" t="s">
        <v>1025</v>
      </c>
      <c r="D13" s="549" t="s">
        <v>248</v>
      </c>
      <c r="E13" s="549" t="s">
        <v>249</v>
      </c>
      <c r="F13" s="549" t="s">
        <v>865</v>
      </c>
      <c r="G13" s="550">
        <v>188960.65</v>
      </c>
      <c r="H13" s="550">
        <v>1250</v>
      </c>
      <c r="I13" s="523"/>
      <c r="J13" s="523"/>
      <c r="K13" s="523"/>
      <c r="L13" s="551">
        <v>190210.65</v>
      </c>
    </row>
    <row r="14" spans="1:12">
      <c r="A14" s="171" t="s">
        <v>1022</v>
      </c>
      <c r="B14" s="171" t="s">
        <v>1023</v>
      </c>
      <c r="C14" s="549" t="s">
        <v>1026</v>
      </c>
      <c r="D14" s="549" t="s">
        <v>248</v>
      </c>
      <c r="E14" s="549" t="s">
        <v>249</v>
      </c>
      <c r="F14" s="549" t="s">
        <v>869</v>
      </c>
      <c r="G14" s="550">
        <v>257962934.43000001</v>
      </c>
      <c r="H14" s="550">
        <v>4076636.77</v>
      </c>
      <c r="I14" s="550">
        <v>-651753.15</v>
      </c>
      <c r="J14" s="523"/>
      <c r="K14" s="523"/>
      <c r="L14" s="551">
        <v>261387818.05000001</v>
      </c>
    </row>
    <row r="15" spans="1:12">
      <c r="A15" s="171" t="s">
        <v>1022</v>
      </c>
      <c r="B15" s="171" t="s">
        <v>1023</v>
      </c>
      <c r="C15" s="549" t="s">
        <v>1027</v>
      </c>
      <c r="D15" s="549" t="s">
        <v>248</v>
      </c>
      <c r="E15" s="549" t="s">
        <v>249</v>
      </c>
      <c r="F15" s="549" t="s">
        <v>872</v>
      </c>
      <c r="G15" s="550">
        <v>5554858.5700000003</v>
      </c>
      <c r="H15" s="550">
        <v>45284.13</v>
      </c>
      <c r="I15" s="550">
        <v>-2565.52</v>
      </c>
      <c r="J15" s="523"/>
      <c r="K15" s="523"/>
      <c r="L15" s="551">
        <v>5597577.1799999997</v>
      </c>
    </row>
    <row r="16" spans="1:12">
      <c r="A16" s="171" t="s">
        <v>1022</v>
      </c>
      <c r="B16" s="171" t="s">
        <v>1023</v>
      </c>
      <c r="C16" s="549" t="s">
        <v>1028</v>
      </c>
      <c r="D16" s="549" t="s">
        <v>248</v>
      </c>
      <c r="E16" s="549" t="s">
        <v>249</v>
      </c>
      <c r="F16" s="549" t="s">
        <v>875</v>
      </c>
      <c r="G16" s="550">
        <v>5835581.1399999997</v>
      </c>
      <c r="H16" s="550">
        <v>31.229999999999599</v>
      </c>
      <c r="I16" s="550">
        <v>-528.05999999999995</v>
      </c>
      <c r="J16" s="523"/>
      <c r="K16" s="523"/>
      <c r="L16" s="551">
        <v>5835084.3099999996</v>
      </c>
    </row>
    <row r="17" spans="1:12">
      <c r="A17" s="171" t="s">
        <v>1022</v>
      </c>
      <c r="B17" s="171" t="s">
        <v>1023</v>
      </c>
      <c r="C17" s="549" t="s">
        <v>1029</v>
      </c>
      <c r="D17" s="549" t="s">
        <v>248</v>
      </c>
      <c r="E17" s="549" t="s">
        <v>249</v>
      </c>
      <c r="F17" s="549" t="s">
        <v>878</v>
      </c>
      <c r="G17" s="550">
        <v>191122945.03999999</v>
      </c>
      <c r="H17" s="550">
        <v>5354350.3</v>
      </c>
      <c r="I17" s="550">
        <v>-572490.78</v>
      </c>
      <c r="J17" s="523"/>
      <c r="K17" s="523"/>
      <c r="L17" s="551">
        <v>195904804.56</v>
      </c>
    </row>
    <row r="18" spans="1:12">
      <c r="A18" s="171" t="s">
        <v>1022</v>
      </c>
      <c r="B18" s="171" t="s">
        <v>1023</v>
      </c>
      <c r="C18" s="549" t="s">
        <v>1030</v>
      </c>
      <c r="D18" s="549" t="s">
        <v>248</v>
      </c>
      <c r="E18" s="549" t="s">
        <v>249</v>
      </c>
      <c r="F18" s="549" t="s">
        <v>882</v>
      </c>
      <c r="G18" s="550">
        <v>44034085.75</v>
      </c>
      <c r="H18" s="550">
        <v>577632.78</v>
      </c>
      <c r="I18" s="550">
        <v>-434766.62</v>
      </c>
      <c r="J18" s="523"/>
      <c r="K18" s="523"/>
      <c r="L18" s="551">
        <v>44176951.909999996</v>
      </c>
    </row>
    <row r="19" spans="1:12">
      <c r="A19" s="171" t="s">
        <v>1022</v>
      </c>
      <c r="B19" s="171" t="s">
        <v>1023</v>
      </c>
      <c r="C19" s="549" t="s">
        <v>1031</v>
      </c>
      <c r="D19" s="549" t="s">
        <v>248</v>
      </c>
      <c r="E19" s="549" t="s">
        <v>249</v>
      </c>
      <c r="F19" s="549" t="s">
        <v>883</v>
      </c>
      <c r="G19" s="550">
        <v>15747709.27</v>
      </c>
      <c r="H19" s="550">
        <v>405676.39</v>
      </c>
      <c r="I19" s="550">
        <v>-145026.51</v>
      </c>
      <c r="J19" s="523"/>
      <c r="K19" s="523"/>
      <c r="L19" s="551">
        <v>16008359.15</v>
      </c>
    </row>
    <row r="20" spans="1:12">
      <c r="A20" s="171" t="s">
        <v>1022</v>
      </c>
      <c r="B20" s="171" t="s">
        <v>1023</v>
      </c>
      <c r="C20" s="549" t="s">
        <v>1032</v>
      </c>
      <c r="D20" s="549" t="s">
        <v>248</v>
      </c>
      <c r="E20" s="549" t="s">
        <v>249</v>
      </c>
      <c r="F20" s="549" t="s">
        <v>886</v>
      </c>
      <c r="G20" s="550">
        <v>5338664.2699999996</v>
      </c>
      <c r="H20" s="550">
        <v>107629.14</v>
      </c>
      <c r="I20" s="523"/>
      <c r="J20" s="523"/>
      <c r="K20" s="523"/>
      <c r="L20" s="551">
        <v>5446293.4100000001</v>
      </c>
    </row>
    <row r="21" spans="1:12">
      <c r="A21" s="171" t="s">
        <v>1022</v>
      </c>
      <c r="B21" s="171" t="s">
        <v>1023</v>
      </c>
      <c r="C21" s="549" t="s">
        <v>1033</v>
      </c>
      <c r="D21" s="549" t="s">
        <v>248</v>
      </c>
      <c r="E21" s="549" t="s">
        <v>249</v>
      </c>
      <c r="F21" s="549" t="s">
        <v>890</v>
      </c>
      <c r="G21" s="550">
        <v>4640138.4000000004</v>
      </c>
      <c r="H21" s="550">
        <v>120203.8</v>
      </c>
      <c r="I21" s="523"/>
      <c r="J21" s="523"/>
      <c r="K21" s="523"/>
      <c r="L21" s="551">
        <v>4760342.2</v>
      </c>
    </row>
    <row r="22" spans="1:12">
      <c r="A22" s="171" t="s">
        <v>1022</v>
      </c>
      <c r="B22" s="171" t="s">
        <v>1023</v>
      </c>
      <c r="C22" s="549" t="s">
        <v>1034</v>
      </c>
      <c r="D22" s="555" t="s">
        <v>248</v>
      </c>
      <c r="E22" s="549" t="s">
        <v>249</v>
      </c>
      <c r="F22" s="549" t="s">
        <v>892</v>
      </c>
      <c r="G22" s="550">
        <v>2521804.02</v>
      </c>
      <c r="H22" s="550">
        <v>38974.839999999997</v>
      </c>
      <c r="I22" s="550">
        <v>-24235.45</v>
      </c>
      <c r="J22" s="523"/>
      <c r="K22" s="523"/>
      <c r="L22" s="551">
        <v>2536543.41</v>
      </c>
    </row>
    <row r="23" spans="1:12">
      <c r="A23" s="171" t="s">
        <v>1022</v>
      </c>
      <c r="B23" s="171" t="s">
        <v>1023</v>
      </c>
      <c r="C23" s="549" t="s">
        <v>1034</v>
      </c>
      <c r="D23" s="557"/>
      <c r="E23" s="549" t="s">
        <v>249</v>
      </c>
      <c r="F23" s="549" t="s">
        <v>893</v>
      </c>
      <c r="G23" s="550">
        <v>12609.37</v>
      </c>
      <c r="H23" s="523"/>
      <c r="I23" s="523"/>
      <c r="J23" s="523"/>
      <c r="K23" s="523"/>
      <c r="L23" s="551">
        <v>12609.37</v>
      </c>
    </row>
    <row r="24" spans="1:12">
      <c r="A24" s="171" t="s">
        <v>1022</v>
      </c>
      <c r="B24" s="171" t="s">
        <v>1023</v>
      </c>
      <c r="C24" s="549" t="s">
        <v>1035</v>
      </c>
      <c r="D24" s="549" t="s">
        <v>248</v>
      </c>
      <c r="E24" s="549" t="s">
        <v>249</v>
      </c>
      <c r="F24" s="549" t="s">
        <v>896</v>
      </c>
      <c r="G24" s="550">
        <v>2148124.7599999998</v>
      </c>
      <c r="H24" s="523"/>
      <c r="I24" s="523"/>
      <c r="J24" s="523"/>
      <c r="K24" s="523"/>
      <c r="L24" s="551">
        <v>2148124.7599999998</v>
      </c>
    </row>
    <row r="25" spans="1:12">
      <c r="A25" s="169"/>
      <c r="B25" s="172" t="s">
        <v>1036</v>
      </c>
      <c r="C25" s="169"/>
      <c r="D25" s="169"/>
      <c r="E25" s="169"/>
      <c r="F25" s="169"/>
      <c r="G25" s="552">
        <v>535630757.94999999</v>
      </c>
      <c r="H25" s="552">
        <v>10729380.380000001</v>
      </c>
      <c r="I25" s="552">
        <v>-1839000.15</v>
      </c>
      <c r="J25" s="552">
        <v>0</v>
      </c>
      <c r="K25" s="170"/>
      <c r="L25" s="553">
        <v>544521138.17999995</v>
      </c>
    </row>
    <row r="26" spans="1:12">
      <c r="A26" s="171" t="s">
        <v>1022</v>
      </c>
      <c r="B26" s="171" t="s">
        <v>1037</v>
      </c>
      <c r="C26" s="549" t="s">
        <v>1038</v>
      </c>
      <c r="D26" s="555" t="s">
        <v>252</v>
      </c>
      <c r="E26" s="549" t="s">
        <v>253</v>
      </c>
      <c r="F26" s="549" t="s">
        <v>901</v>
      </c>
      <c r="G26" s="550">
        <v>22800.83</v>
      </c>
      <c r="H26" s="523"/>
      <c r="I26" s="523"/>
      <c r="J26" s="523"/>
      <c r="K26" s="523"/>
      <c r="L26" s="551">
        <v>22800.83</v>
      </c>
    </row>
    <row r="27" spans="1:12">
      <c r="A27" s="171" t="s">
        <v>1022</v>
      </c>
      <c r="B27" s="171" t="s">
        <v>1037</v>
      </c>
      <c r="C27" s="549" t="s">
        <v>1038</v>
      </c>
      <c r="D27" s="556"/>
      <c r="E27" s="549" t="s">
        <v>253</v>
      </c>
      <c r="F27" s="549" t="s">
        <v>902</v>
      </c>
      <c r="G27" s="550">
        <v>944962.17</v>
      </c>
      <c r="H27" s="523"/>
      <c r="I27" s="523"/>
      <c r="J27" s="523"/>
      <c r="K27" s="523"/>
      <c r="L27" s="551">
        <v>944962.17</v>
      </c>
    </row>
    <row r="28" spans="1:12">
      <c r="A28" s="171" t="s">
        <v>1022</v>
      </c>
      <c r="B28" s="171" t="s">
        <v>1037</v>
      </c>
      <c r="C28" s="549" t="s">
        <v>1038</v>
      </c>
      <c r="D28" s="556"/>
      <c r="E28" s="549" t="s">
        <v>253</v>
      </c>
      <c r="F28" s="549" t="s">
        <v>903</v>
      </c>
      <c r="G28" s="550">
        <v>13912.5</v>
      </c>
      <c r="H28" s="523"/>
      <c r="I28" s="523"/>
      <c r="J28" s="523"/>
      <c r="K28" s="523"/>
      <c r="L28" s="551">
        <v>13912.5</v>
      </c>
    </row>
    <row r="29" spans="1:12">
      <c r="A29" s="171" t="s">
        <v>1022</v>
      </c>
      <c r="B29" s="171" t="s">
        <v>1037</v>
      </c>
      <c r="C29" s="549" t="s">
        <v>1038</v>
      </c>
      <c r="D29" s="556"/>
      <c r="E29" s="549" t="s">
        <v>253</v>
      </c>
      <c r="F29" s="549" t="s">
        <v>904</v>
      </c>
      <c r="G29" s="550">
        <v>10548.51</v>
      </c>
      <c r="H29" s="523"/>
      <c r="I29" s="523"/>
      <c r="J29" s="523"/>
      <c r="K29" s="523"/>
      <c r="L29" s="551">
        <v>10548.51</v>
      </c>
    </row>
    <row r="30" spans="1:12">
      <c r="A30" s="171" t="s">
        <v>1022</v>
      </c>
      <c r="B30" s="171" t="s">
        <v>1037</v>
      </c>
      <c r="C30" s="549" t="s">
        <v>1038</v>
      </c>
      <c r="D30" s="556"/>
      <c r="E30" s="549" t="s">
        <v>253</v>
      </c>
      <c r="F30" s="549" t="s">
        <v>905</v>
      </c>
      <c r="G30" s="550">
        <v>4832.04</v>
      </c>
      <c r="H30" s="523"/>
      <c r="I30" s="523"/>
      <c r="J30" s="523"/>
      <c r="K30" s="523"/>
      <c r="L30" s="551">
        <v>4832.04</v>
      </c>
    </row>
    <row r="31" spans="1:12">
      <c r="A31" s="171" t="s">
        <v>1022</v>
      </c>
      <c r="B31" s="171" t="s">
        <v>1037</v>
      </c>
      <c r="C31" s="549" t="s">
        <v>1038</v>
      </c>
      <c r="D31" s="556"/>
      <c r="E31" s="549" t="s">
        <v>253</v>
      </c>
      <c r="F31" s="549" t="s">
        <v>906</v>
      </c>
      <c r="G31" s="550">
        <v>668759.22</v>
      </c>
      <c r="H31" s="523"/>
      <c r="I31" s="523"/>
      <c r="J31" s="523"/>
      <c r="K31" s="523"/>
      <c r="L31" s="551">
        <v>668759.22</v>
      </c>
    </row>
    <row r="32" spans="1:12">
      <c r="A32" s="171" t="s">
        <v>1022</v>
      </c>
      <c r="B32" s="171" t="s">
        <v>1037</v>
      </c>
      <c r="C32" s="549" t="s">
        <v>1038</v>
      </c>
      <c r="D32" s="557"/>
      <c r="E32" s="549" t="s">
        <v>253</v>
      </c>
      <c r="F32" s="549" t="s">
        <v>907</v>
      </c>
      <c r="G32" s="550">
        <v>7647.5</v>
      </c>
      <c r="H32" s="523"/>
      <c r="I32" s="523"/>
      <c r="J32" s="523"/>
      <c r="K32" s="523"/>
      <c r="L32" s="551">
        <v>7647.5</v>
      </c>
    </row>
    <row r="33" spans="1:12">
      <c r="A33" s="171" t="s">
        <v>1022</v>
      </c>
      <c r="B33" s="171" t="s">
        <v>1037</v>
      </c>
      <c r="C33" s="549" t="s">
        <v>1038</v>
      </c>
      <c r="D33" s="549" t="s">
        <v>267</v>
      </c>
      <c r="E33" s="549" t="s">
        <v>268</v>
      </c>
      <c r="F33" s="549" t="s">
        <v>908</v>
      </c>
      <c r="G33" s="550">
        <v>42000</v>
      </c>
      <c r="H33" s="523"/>
      <c r="I33" s="550">
        <v>-42000</v>
      </c>
      <c r="J33" s="523"/>
      <c r="K33" s="523"/>
      <c r="L33" s="551">
        <v>0</v>
      </c>
    </row>
    <row r="34" spans="1:12">
      <c r="A34" s="171" t="s">
        <v>1022</v>
      </c>
      <c r="B34" s="171" t="s">
        <v>1037</v>
      </c>
      <c r="C34" s="549" t="s">
        <v>1039</v>
      </c>
      <c r="D34" s="555" t="s">
        <v>248</v>
      </c>
      <c r="E34" s="549" t="s">
        <v>249</v>
      </c>
      <c r="F34" s="549" t="s">
        <v>911</v>
      </c>
      <c r="G34" s="550">
        <v>0</v>
      </c>
      <c r="H34" s="523"/>
      <c r="I34" s="523"/>
      <c r="J34" s="523"/>
      <c r="K34" s="523"/>
      <c r="L34" s="551">
        <v>0</v>
      </c>
    </row>
    <row r="35" spans="1:12">
      <c r="A35" s="171" t="s">
        <v>1022</v>
      </c>
      <c r="B35" s="171" t="s">
        <v>1037</v>
      </c>
      <c r="C35" s="549" t="s">
        <v>1039</v>
      </c>
      <c r="D35" s="556"/>
      <c r="E35" s="549" t="s">
        <v>249</v>
      </c>
      <c r="F35" s="549" t="s">
        <v>912</v>
      </c>
      <c r="G35" s="550">
        <v>8214858.8899999997</v>
      </c>
      <c r="H35" s="550">
        <v>22402.03</v>
      </c>
      <c r="I35" s="523"/>
      <c r="J35" s="523"/>
      <c r="K35" s="523"/>
      <c r="L35" s="551">
        <v>8237260.9199999999</v>
      </c>
    </row>
    <row r="36" spans="1:12">
      <c r="A36" s="171" t="s">
        <v>1022</v>
      </c>
      <c r="B36" s="171" t="s">
        <v>1037</v>
      </c>
      <c r="C36" s="549" t="s">
        <v>1039</v>
      </c>
      <c r="D36" s="556"/>
      <c r="E36" s="549" t="s">
        <v>249</v>
      </c>
      <c r="F36" s="549" t="s">
        <v>913</v>
      </c>
      <c r="G36" s="550">
        <v>878614.76</v>
      </c>
      <c r="H36" s="523"/>
      <c r="I36" s="523"/>
      <c r="J36" s="523"/>
      <c r="K36" s="523"/>
      <c r="L36" s="551">
        <v>878614.76</v>
      </c>
    </row>
    <row r="37" spans="1:12">
      <c r="A37" s="171" t="s">
        <v>1022</v>
      </c>
      <c r="B37" s="171" t="s">
        <v>1037</v>
      </c>
      <c r="C37" s="549" t="s">
        <v>1039</v>
      </c>
      <c r="D37" s="556"/>
      <c r="E37" s="549" t="s">
        <v>249</v>
      </c>
      <c r="F37" s="549" t="s">
        <v>914</v>
      </c>
      <c r="G37" s="550">
        <v>791730.69</v>
      </c>
      <c r="H37" s="523"/>
      <c r="I37" s="523"/>
      <c r="J37" s="523"/>
      <c r="K37" s="523"/>
      <c r="L37" s="551">
        <v>791730.69</v>
      </c>
    </row>
    <row r="38" spans="1:12">
      <c r="A38" s="171" t="s">
        <v>1022</v>
      </c>
      <c r="B38" s="171" t="s">
        <v>1037</v>
      </c>
      <c r="C38" s="549" t="s">
        <v>1039</v>
      </c>
      <c r="D38" s="556"/>
      <c r="E38" s="549" t="s">
        <v>249</v>
      </c>
      <c r="F38" s="549" t="s">
        <v>915</v>
      </c>
      <c r="G38" s="550">
        <v>366215.52</v>
      </c>
      <c r="H38" s="523"/>
      <c r="I38" s="523"/>
      <c r="J38" s="523"/>
      <c r="K38" s="523"/>
      <c r="L38" s="551">
        <v>366215.52</v>
      </c>
    </row>
    <row r="39" spans="1:12">
      <c r="A39" s="171" t="s">
        <v>1022</v>
      </c>
      <c r="B39" s="171" t="s">
        <v>1037</v>
      </c>
      <c r="C39" s="549" t="s">
        <v>1039</v>
      </c>
      <c r="D39" s="556"/>
      <c r="E39" s="549" t="s">
        <v>249</v>
      </c>
      <c r="F39" s="549" t="s">
        <v>916</v>
      </c>
      <c r="G39" s="550">
        <v>66664.92</v>
      </c>
      <c r="H39" s="523"/>
      <c r="I39" s="523"/>
      <c r="J39" s="523"/>
      <c r="K39" s="523"/>
      <c r="L39" s="551">
        <v>66664.92</v>
      </c>
    </row>
    <row r="40" spans="1:12">
      <c r="A40" s="171" t="s">
        <v>1022</v>
      </c>
      <c r="B40" s="171" t="s">
        <v>1037</v>
      </c>
      <c r="C40" s="549" t="s">
        <v>1039</v>
      </c>
      <c r="D40" s="556"/>
      <c r="E40" s="549" t="s">
        <v>249</v>
      </c>
      <c r="F40" s="549" t="s">
        <v>917</v>
      </c>
      <c r="G40" s="550">
        <v>738710.73</v>
      </c>
      <c r="H40" s="523"/>
      <c r="I40" s="523"/>
      <c r="J40" s="523"/>
      <c r="K40" s="523"/>
      <c r="L40" s="551">
        <v>738710.73</v>
      </c>
    </row>
    <row r="41" spans="1:12">
      <c r="A41" s="171" t="s">
        <v>1022</v>
      </c>
      <c r="B41" s="171" t="s">
        <v>1037</v>
      </c>
      <c r="C41" s="549" t="s">
        <v>1039</v>
      </c>
      <c r="D41" s="556"/>
      <c r="E41" s="549" t="s">
        <v>249</v>
      </c>
      <c r="F41" s="549" t="s">
        <v>918</v>
      </c>
      <c r="G41" s="550">
        <v>12246116.880000001</v>
      </c>
      <c r="H41" s="550">
        <v>20877.11</v>
      </c>
      <c r="I41" s="550">
        <v>-8264.0300000000007</v>
      </c>
      <c r="J41" s="523"/>
      <c r="K41" s="523"/>
      <c r="L41" s="551">
        <v>12258729.960000001</v>
      </c>
    </row>
    <row r="42" spans="1:12">
      <c r="A42" s="171" t="s">
        <v>1022</v>
      </c>
      <c r="B42" s="171" t="s">
        <v>1037</v>
      </c>
      <c r="C42" s="549" t="s">
        <v>1039</v>
      </c>
      <c r="D42" s="556"/>
      <c r="E42" s="549" t="s">
        <v>249</v>
      </c>
      <c r="F42" s="549" t="s">
        <v>919</v>
      </c>
      <c r="G42" s="550">
        <v>1346847.94</v>
      </c>
      <c r="H42" s="523"/>
      <c r="I42" s="523"/>
      <c r="J42" s="523"/>
      <c r="K42" s="523"/>
      <c r="L42" s="551">
        <v>1346847.94</v>
      </c>
    </row>
    <row r="43" spans="1:12">
      <c r="A43" s="171" t="s">
        <v>1022</v>
      </c>
      <c r="B43" s="171" t="s">
        <v>1037</v>
      </c>
      <c r="C43" s="549" t="s">
        <v>1039</v>
      </c>
      <c r="D43" s="556"/>
      <c r="E43" s="549" t="s">
        <v>249</v>
      </c>
      <c r="F43" s="549" t="s">
        <v>920</v>
      </c>
      <c r="G43" s="550">
        <v>13526</v>
      </c>
      <c r="H43" s="523"/>
      <c r="I43" s="523"/>
      <c r="J43" s="523"/>
      <c r="K43" s="523"/>
      <c r="L43" s="551">
        <v>13526</v>
      </c>
    </row>
    <row r="44" spans="1:12">
      <c r="A44" s="171" t="s">
        <v>1022</v>
      </c>
      <c r="B44" s="171" t="s">
        <v>1037</v>
      </c>
      <c r="C44" s="549" t="s">
        <v>1039</v>
      </c>
      <c r="D44" s="556"/>
      <c r="E44" s="549" t="s">
        <v>249</v>
      </c>
      <c r="F44" s="549" t="s">
        <v>921</v>
      </c>
      <c r="G44" s="550">
        <v>31294.22</v>
      </c>
      <c r="H44" s="523"/>
      <c r="I44" s="523"/>
      <c r="J44" s="523"/>
      <c r="K44" s="523"/>
      <c r="L44" s="551">
        <v>31294.22</v>
      </c>
    </row>
    <row r="45" spans="1:12">
      <c r="A45" s="171" t="s">
        <v>1022</v>
      </c>
      <c r="B45" s="171" t="s">
        <v>1037</v>
      </c>
      <c r="C45" s="549" t="s">
        <v>1039</v>
      </c>
      <c r="D45" s="556"/>
      <c r="E45" s="549" t="s">
        <v>249</v>
      </c>
      <c r="F45" s="549" t="s">
        <v>922</v>
      </c>
      <c r="G45" s="550">
        <v>80816.39</v>
      </c>
      <c r="H45" s="523"/>
      <c r="I45" s="523"/>
      <c r="J45" s="523"/>
      <c r="K45" s="523"/>
      <c r="L45" s="551">
        <v>80816.39</v>
      </c>
    </row>
    <row r="46" spans="1:12">
      <c r="A46" s="171" t="s">
        <v>1022</v>
      </c>
      <c r="B46" s="171" t="s">
        <v>1037</v>
      </c>
      <c r="C46" s="549" t="s">
        <v>1039</v>
      </c>
      <c r="D46" s="556"/>
      <c r="E46" s="549" t="s">
        <v>249</v>
      </c>
      <c r="F46" s="549" t="s">
        <v>923</v>
      </c>
      <c r="G46" s="550">
        <v>51138.81</v>
      </c>
      <c r="H46" s="523"/>
      <c r="I46" s="523"/>
      <c r="J46" s="523"/>
      <c r="K46" s="523"/>
      <c r="L46" s="551">
        <v>51138.81</v>
      </c>
    </row>
    <row r="47" spans="1:12">
      <c r="A47" s="171" t="s">
        <v>1022</v>
      </c>
      <c r="B47" s="171" t="s">
        <v>1037</v>
      </c>
      <c r="C47" s="549" t="s">
        <v>1039</v>
      </c>
      <c r="D47" s="557"/>
      <c r="E47" s="549" t="s">
        <v>249</v>
      </c>
      <c r="F47" s="549" t="s">
        <v>924</v>
      </c>
      <c r="G47" s="550">
        <v>5564.75</v>
      </c>
      <c r="H47" s="523"/>
      <c r="I47" s="523"/>
      <c r="J47" s="523"/>
      <c r="K47" s="523"/>
      <c r="L47" s="551">
        <v>5564.75</v>
      </c>
    </row>
    <row r="48" spans="1:12">
      <c r="A48" s="171" t="s">
        <v>1022</v>
      </c>
      <c r="B48" s="171" t="s">
        <v>1037</v>
      </c>
      <c r="C48" s="549" t="s">
        <v>1040</v>
      </c>
      <c r="D48" s="555" t="s">
        <v>278</v>
      </c>
      <c r="E48" s="549" t="s">
        <v>279</v>
      </c>
      <c r="F48" s="549" t="s">
        <v>995</v>
      </c>
      <c r="G48" s="550">
        <v>0</v>
      </c>
      <c r="H48" s="523"/>
      <c r="I48" s="523"/>
      <c r="J48" s="523"/>
      <c r="K48" s="523"/>
      <c r="L48" s="551">
        <v>0</v>
      </c>
    </row>
    <row r="49" spans="1:12">
      <c r="A49" s="171" t="s">
        <v>1022</v>
      </c>
      <c r="B49" s="171" t="s">
        <v>1037</v>
      </c>
      <c r="C49" s="549" t="s">
        <v>1040</v>
      </c>
      <c r="D49" s="556"/>
      <c r="E49" s="549" t="s">
        <v>279</v>
      </c>
      <c r="F49" s="549" t="s">
        <v>996</v>
      </c>
      <c r="G49" s="550">
        <v>1341873.06</v>
      </c>
      <c r="H49" s="550">
        <v>14854.16</v>
      </c>
      <c r="I49" s="550">
        <v>-366145.74</v>
      </c>
      <c r="J49" s="523"/>
      <c r="K49" s="523"/>
      <c r="L49" s="551">
        <v>990581.48</v>
      </c>
    </row>
    <row r="50" spans="1:12">
      <c r="A50" s="171" t="s">
        <v>1022</v>
      </c>
      <c r="B50" s="171" t="s">
        <v>1037</v>
      </c>
      <c r="C50" s="549" t="s">
        <v>1040</v>
      </c>
      <c r="D50" s="556"/>
      <c r="E50" s="549" t="s">
        <v>279</v>
      </c>
      <c r="F50" s="549" t="s">
        <v>997</v>
      </c>
      <c r="G50" s="550">
        <v>0</v>
      </c>
      <c r="H50" s="523"/>
      <c r="I50" s="523"/>
      <c r="J50" s="523"/>
      <c r="K50" s="523"/>
      <c r="L50" s="551">
        <v>0</v>
      </c>
    </row>
    <row r="51" spans="1:12">
      <c r="A51" s="171" t="s">
        <v>1022</v>
      </c>
      <c r="B51" s="171" t="s">
        <v>1037</v>
      </c>
      <c r="C51" s="549" t="s">
        <v>1040</v>
      </c>
      <c r="D51" s="556"/>
      <c r="E51" s="549" t="s">
        <v>279</v>
      </c>
      <c r="F51" s="549" t="s">
        <v>998</v>
      </c>
      <c r="G51" s="550">
        <v>0</v>
      </c>
      <c r="H51" s="523"/>
      <c r="I51" s="523"/>
      <c r="J51" s="523"/>
      <c r="K51" s="523"/>
      <c r="L51" s="551">
        <v>0</v>
      </c>
    </row>
    <row r="52" spans="1:12">
      <c r="A52" s="171" t="s">
        <v>1022</v>
      </c>
      <c r="B52" s="171" t="s">
        <v>1037</v>
      </c>
      <c r="C52" s="549" t="s">
        <v>1040</v>
      </c>
      <c r="D52" s="556"/>
      <c r="E52" s="549" t="s">
        <v>279</v>
      </c>
      <c r="F52" s="549" t="s">
        <v>999</v>
      </c>
      <c r="G52" s="550">
        <v>0</v>
      </c>
      <c r="H52" s="523"/>
      <c r="I52" s="523"/>
      <c r="J52" s="523"/>
      <c r="K52" s="523"/>
      <c r="L52" s="551">
        <v>0</v>
      </c>
    </row>
    <row r="53" spans="1:12">
      <c r="A53" s="171" t="s">
        <v>1022</v>
      </c>
      <c r="B53" s="171" t="s">
        <v>1037</v>
      </c>
      <c r="C53" s="549" t="s">
        <v>1040</v>
      </c>
      <c r="D53" s="557"/>
      <c r="E53" s="549" t="s">
        <v>279</v>
      </c>
      <c r="F53" s="549" t="s">
        <v>1000</v>
      </c>
      <c r="G53" s="550">
        <v>0</v>
      </c>
      <c r="H53" s="523"/>
      <c r="I53" s="523"/>
      <c r="J53" s="523"/>
      <c r="K53" s="523"/>
      <c r="L53" s="551">
        <v>0</v>
      </c>
    </row>
    <row r="54" spans="1:12">
      <c r="A54" s="171" t="s">
        <v>1022</v>
      </c>
      <c r="B54" s="171" t="s">
        <v>1037</v>
      </c>
      <c r="C54" s="549" t="s">
        <v>1040</v>
      </c>
      <c r="D54" s="555" t="s">
        <v>280</v>
      </c>
      <c r="E54" s="549" t="s">
        <v>281</v>
      </c>
      <c r="F54" s="549" t="s">
        <v>1001</v>
      </c>
      <c r="G54" s="550">
        <v>558870.51</v>
      </c>
      <c r="H54" s="550">
        <v>2022.88</v>
      </c>
      <c r="I54" s="523"/>
      <c r="J54" s="523"/>
      <c r="K54" s="523"/>
      <c r="L54" s="551">
        <v>560893.39</v>
      </c>
    </row>
    <row r="55" spans="1:12">
      <c r="A55" s="171" t="s">
        <v>1022</v>
      </c>
      <c r="B55" s="171" t="s">
        <v>1037</v>
      </c>
      <c r="C55" s="549" t="s">
        <v>1040</v>
      </c>
      <c r="D55" s="556"/>
      <c r="E55" s="549" t="s">
        <v>281</v>
      </c>
      <c r="F55" s="549" t="s">
        <v>1002</v>
      </c>
      <c r="G55" s="550">
        <v>1071952.7</v>
      </c>
      <c r="H55" s="550">
        <v>60025.47</v>
      </c>
      <c r="I55" s="523"/>
      <c r="J55" s="523"/>
      <c r="K55" s="523"/>
      <c r="L55" s="551">
        <v>1131978.17</v>
      </c>
    </row>
    <row r="56" spans="1:12">
      <c r="A56" s="171" t="s">
        <v>1022</v>
      </c>
      <c r="B56" s="171" t="s">
        <v>1037</v>
      </c>
      <c r="C56" s="549" t="s">
        <v>1040</v>
      </c>
      <c r="D56" s="556"/>
      <c r="E56" s="549" t="s">
        <v>281</v>
      </c>
      <c r="F56" s="549" t="s">
        <v>1003</v>
      </c>
      <c r="G56" s="550">
        <v>84610.49</v>
      </c>
      <c r="H56" s="550">
        <v>2022.87</v>
      </c>
      <c r="I56" s="523"/>
      <c r="J56" s="523"/>
      <c r="K56" s="523"/>
      <c r="L56" s="551">
        <v>86633.36</v>
      </c>
    </row>
    <row r="57" spans="1:12">
      <c r="A57" s="171" t="s">
        <v>1022</v>
      </c>
      <c r="B57" s="171" t="s">
        <v>1037</v>
      </c>
      <c r="C57" s="549" t="s">
        <v>1040</v>
      </c>
      <c r="D57" s="556"/>
      <c r="E57" s="549" t="s">
        <v>281</v>
      </c>
      <c r="F57" s="549" t="s">
        <v>1004</v>
      </c>
      <c r="G57" s="550">
        <v>0</v>
      </c>
      <c r="H57" s="523"/>
      <c r="I57" s="523"/>
      <c r="J57" s="523"/>
      <c r="K57" s="523"/>
      <c r="L57" s="551">
        <v>0</v>
      </c>
    </row>
    <row r="58" spans="1:12">
      <c r="A58" s="171" t="s">
        <v>1022</v>
      </c>
      <c r="B58" s="171" t="s">
        <v>1037</v>
      </c>
      <c r="C58" s="549" t="s">
        <v>1040</v>
      </c>
      <c r="D58" s="556"/>
      <c r="E58" s="549" t="s">
        <v>281</v>
      </c>
      <c r="F58" s="549" t="s">
        <v>1005</v>
      </c>
      <c r="G58" s="550">
        <v>0</v>
      </c>
      <c r="H58" s="523"/>
      <c r="I58" s="523"/>
      <c r="J58" s="523"/>
      <c r="K58" s="523"/>
      <c r="L58" s="551">
        <v>0</v>
      </c>
    </row>
    <row r="59" spans="1:12">
      <c r="A59" s="171" t="s">
        <v>1022</v>
      </c>
      <c r="B59" s="171" t="s">
        <v>1037</v>
      </c>
      <c r="C59" s="549" t="s">
        <v>1040</v>
      </c>
      <c r="D59" s="556"/>
      <c r="E59" s="549" t="s">
        <v>281</v>
      </c>
      <c r="F59" s="549" t="s">
        <v>1006</v>
      </c>
      <c r="G59" s="550">
        <v>420305.83</v>
      </c>
      <c r="H59" s="550">
        <v>2022.88</v>
      </c>
      <c r="I59" s="523"/>
      <c r="J59" s="523"/>
      <c r="K59" s="523"/>
      <c r="L59" s="551">
        <v>422328.71</v>
      </c>
    </row>
    <row r="60" spans="1:12">
      <c r="A60" s="171" t="s">
        <v>1022</v>
      </c>
      <c r="B60" s="171" t="s">
        <v>1037</v>
      </c>
      <c r="C60" s="549" t="s">
        <v>1040</v>
      </c>
      <c r="D60" s="557"/>
      <c r="E60" s="549" t="s">
        <v>281</v>
      </c>
      <c r="F60" s="549" t="s">
        <v>1007</v>
      </c>
      <c r="G60" s="550">
        <v>93923.28</v>
      </c>
      <c r="H60" s="550">
        <v>2022.88</v>
      </c>
      <c r="I60" s="523"/>
      <c r="J60" s="523"/>
      <c r="K60" s="523"/>
      <c r="L60" s="551">
        <v>95946.16</v>
      </c>
    </row>
    <row r="61" spans="1:12">
      <c r="A61" s="171" t="s">
        <v>1022</v>
      </c>
      <c r="B61" s="171" t="s">
        <v>1037</v>
      </c>
      <c r="C61" s="549" t="s">
        <v>1040</v>
      </c>
      <c r="D61" s="555" t="s">
        <v>282</v>
      </c>
      <c r="E61" s="549" t="s">
        <v>283</v>
      </c>
      <c r="F61" s="549" t="s">
        <v>1008</v>
      </c>
      <c r="G61" s="550">
        <v>0</v>
      </c>
      <c r="H61" s="523"/>
      <c r="I61" s="523"/>
      <c r="J61" s="523"/>
      <c r="K61" s="523"/>
      <c r="L61" s="551">
        <v>0</v>
      </c>
    </row>
    <row r="62" spans="1:12">
      <c r="A62" s="171" t="s">
        <v>1022</v>
      </c>
      <c r="B62" s="171" t="s">
        <v>1037</v>
      </c>
      <c r="C62" s="549" t="s">
        <v>1040</v>
      </c>
      <c r="D62" s="556"/>
      <c r="E62" s="549" t="s">
        <v>283</v>
      </c>
      <c r="F62" s="549" t="s">
        <v>1009</v>
      </c>
      <c r="G62" s="550">
        <v>387888.71</v>
      </c>
      <c r="H62" s="523"/>
      <c r="I62" s="550">
        <v>-2679</v>
      </c>
      <c r="J62" s="523"/>
      <c r="K62" s="523"/>
      <c r="L62" s="551">
        <v>385209.71</v>
      </c>
    </row>
    <row r="63" spans="1:12">
      <c r="A63" s="171" t="s">
        <v>1022</v>
      </c>
      <c r="B63" s="171" t="s">
        <v>1037</v>
      </c>
      <c r="C63" s="549" t="s">
        <v>1040</v>
      </c>
      <c r="D63" s="556"/>
      <c r="E63" s="549" t="s">
        <v>283</v>
      </c>
      <c r="F63" s="549" t="s">
        <v>1010</v>
      </c>
      <c r="G63" s="550">
        <v>678626.26</v>
      </c>
      <c r="H63" s="523"/>
      <c r="I63" s="550">
        <v>-118699.29</v>
      </c>
      <c r="J63" s="523"/>
      <c r="K63" s="523"/>
      <c r="L63" s="551">
        <v>559926.97</v>
      </c>
    </row>
    <row r="64" spans="1:12">
      <c r="A64" s="171" t="s">
        <v>1022</v>
      </c>
      <c r="B64" s="171" t="s">
        <v>1037</v>
      </c>
      <c r="C64" s="549" t="s">
        <v>1040</v>
      </c>
      <c r="D64" s="556"/>
      <c r="E64" s="549" t="s">
        <v>283</v>
      </c>
      <c r="F64" s="549" t="s">
        <v>1011</v>
      </c>
      <c r="G64" s="550">
        <v>122210.62</v>
      </c>
      <c r="H64" s="523"/>
      <c r="I64" s="523"/>
      <c r="J64" s="523"/>
      <c r="K64" s="523"/>
      <c r="L64" s="551">
        <v>122210.62</v>
      </c>
    </row>
    <row r="65" spans="1:12">
      <c r="A65" s="171" t="s">
        <v>1022</v>
      </c>
      <c r="B65" s="171" t="s">
        <v>1037</v>
      </c>
      <c r="C65" s="549" t="s">
        <v>1040</v>
      </c>
      <c r="D65" s="556"/>
      <c r="E65" s="549" t="s">
        <v>283</v>
      </c>
      <c r="F65" s="549" t="s">
        <v>1012</v>
      </c>
      <c r="G65" s="550">
        <v>2857.81</v>
      </c>
      <c r="H65" s="523"/>
      <c r="I65" s="523"/>
      <c r="J65" s="523"/>
      <c r="K65" s="523"/>
      <c r="L65" s="551">
        <v>2857.81</v>
      </c>
    </row>
    <row r="66" spans="1:12">
      <c r="A66" s="171" t="s">
        <v>1022</v>
      </c>
      <c r="B66" s="171" t="s">
        <v>1037</v>
      </c>
      <c r="C66" s="549" t="s">
        <v>1040</v>
      </c>
      <c r="D66" s="556"/>
      <c r="E66" s="549" t="s">
        <v>283</v>
      </c>
      <c r="F66" s="549" t="s">
        <v>1013</v>
      </c>
      <c r="G66" s="550">
        <v>29693.61</v>
      </c>
      <c r="H66" s="523"/>
      <c r="I66" s="523"/>
      <c r="J66" s="523"/>
      <c r="K66" s="523"/>
      <c r="L66" s="551">
        <v>29693.61</v>
      </c>
    </row>
    <row r="67" spans="1:12">
      <c r="A67" s="171" t="s">
        <v>1022</v>
      </c>
      <c r="B67" s="171" t="s">
        <v>1037</v>
      </c>
      <c r="C67" s="549" t="s">
        <v>1040</v>
      </c>
      <c r="D67" s="556"/>
      <c r="E67" s="549" t="s">
        <v>283</v>
      </c>
      <c r="F67" s="549" t="s">
        <v>1014</v>
      </c>
      <c r="G67" s="550">
        <v>534836.91</v>
      </c>
      <c r="H67" s="550">
        <v>8964</v>
      </c>
      <c r="I67" s="550">
        <v>-4552.18</v>
      </c>
      <c r="J67" s="523"/>
      <c r="K67" s="523"/>
      <c r="L67" s="551">
        <v>539248.73</v>
      </c>
    </row>
    <row r="68" spans="1:12">
      <c r="A68" s="171" t="s">
        <v>1022</v>
      </c>
      <c r="B68" s="171" t="s">
        <v>1037</v>
      </c>
      <c r="C68" s="549" t="s">
        <v>1040</v>
      </c>
      <c r="D68" s="556"/>
      <c r="E68" s="549" t="s">
        <v>283</v>
      </c>
      <c r="F68" s="549" t="s">
        <v>1015</v>
      </c>
      <c r="G68" s="550">
        <v>4269.74</v>
      </c>
      <c r="H68" s="523"/>
      <c r="I68" s="523"/>
      <c r="J68" s="523"/>
      <c r="K68" s="523"/>
      <c r="L68" s="551">
        <v>4269.74</v>
      </c>
    </row>
    <row r="69" spans="1:12">
      <c r="A69" s="171" t="s">
        <v>1022</v>
      </c>
      <c r="B69" s="171" t="s">
        <v>1037</v>
      </c>
      <c r="C69" s="549" t="s">
        <v>1040</v>
      </c>
      <c r="D69" s="556"/>
      <c r="E69" s="549" t="s">
        <v>283</v>
      </c>
      <c r="F69" s="549" t="s">
        <v>1016</v>
      </c>
      <c r="G69" s="550">
        <v>88184.51</v>
      </c>
      <c r="H69" s="523"/>
      <c r="I69" s="523"/>
      <c r="J69" s="523"/>
      <c r="K69" s="523"/>
      <c r="L69" s="551">
        <v>88184.51</v>
      </c>
    </row>
    <row r="70" spans="1:12">
      <c r="A70" s="171" t="s">
        <v>1022</v>
      </c>
      <c r="B70" s="171" t="s">
        <v>1037</v>
      </c>
      <c r="C70" s="549" t="s">
        <v>1040</v>
      </c>
      <c r="D70" s="557"/>
      <c r="E70" s="549" t="s">
        <v>283</v>
      </c>
      <c r="F70" s="549" t="s">
        <v>1017</v>
      </c>
      <c r="G70" s="550">
        <v>0</v>
      </c>
      <c r="H70" s="523"/>
      <c r="I70" s="523"/>
      <c r="J70" s="523"/>
      <c r="K70" s="523"/>
      <c r="L70" s="551">
        <v>0</v>
      </c>
    </row>
    <row r="71" spans="1:12">
      <c r="A71" s="171" t="s">
        <v>1022</v>
      </c>
      <c r="B71" s="171" t="s">
        <v>1037</v>
      </c>
      <c r="C71" s="549" t="s">
        <v>1041</v>
      </c>
      <c r="D71" s="549" t="s">
        <v>84</v>
      </c>
      <c r="E71" s="549" t="s">
        <v>285</v>
      </c>
      <c r="F71" s="549" t="s">
        <v>928</v>
      </c>
      <c r="G71" s="550">
        <v>3690837.22</v>
      </c>
      <c r="H71" s="550">
        <v>215328.52</v>
      </c>
      <c r="I71" s="550">
        <v>-157182.85999999999</v>
      </c>
      <c r="J71" s="550">
        <v>8956.36</v>
      </c>
      <c r="K71" s="523"/>
      <c r="L71" s="551">
        <v>3757939.24</v>
      </c>
    </row>
    <row r="72" spans="1:12">
      <c r="A72" s="171" t="s">
        <v>1022</v>
      </c>
      <c r="B72" s="171" t="s">
        <v>1037</v>
      </c>
      <c r="C72" s="549" t="s">
        <v>1041</v>
      </c>
      <c r="D72" s="549" t="s">
        <v>286</v>
      </c>
      <c r="E72" s="549" t="s">
        <v>287</v>
      </c>
      <c r="F72" s="549" t="s">
        <v>929</v>
      </c>
      <c r="G72" s="550">
        <v>2453960.64</v>
      </c>
      <c r="H72" s="550">
        <v>157232.32000000001</v>
      </c>
      <c r="I72" s="550">
        <v>-147901.38</v>
      </c>
      <c r="J72" s="550">
        <v>-70776.710000000006</v>
      </c>
      <c r="K72" s="523"/>
      <c r="L72" s="551">
        <v>2392514.87</v>
      </c>
    </row>
    <row r="73" spans="1:12">
      <c r="A73" s="171" t="s">
        <v>1022</v>
      </c>
      <c r="B73" s="171" t="s">
        <v>1037</v>
      </c>
      <c r="C73" s="549" t="s">
        <v>1041</v>
      </c>
      <c r="D73" s="549" t="s">
        <v>81</v>
      </c>
      <c r="E73" s="549" t="s">
        <v>288</v>
      </c>
      <c r="F73" s="549" t="s">
        <v>930</v>
      </c>
      <c r="G73" s="550">
        <v>3774829.33</v>
      </c>
      <c r="H73" s="550">
        <v>1126523.0900000001</v>
      </c>
      <c r="I73" s="523"/>
      <c r="J73" s="523"/>
      <c r="K73" s="523"/>
      <c r="L73" s="551">
        <v>4901352.42</v>
      </c>
    </row>
    <row r="74" spans="1:12">
      <c r="A74" s="171" t="s">
        <v>1022</v>
      </c>
      <c r="B74" s="171" t="s">
        <v>1037</v>
      </c>
      <c r="C74" s="549" t="s">
        <v>1041</v>
      </c>
      <c r="D74" s="549" t="s">
        <v>83</v>
      </c>
      <c r="E74" s="549" t="s">
        <v>289</v>
      </c>
      <c r="F74" s="549" t="s">
        <v>931</v>
      </c>
      <c r="G74" s="550">
        <v>411944.07</v>
      </c>
      <c r="H74" s="550">
        <v>108815.76</v>
      </c>
      <c r="I74" s="523"/>
      <c r="J74" s="523"/>
      <c r="K74" s="523"/>
      <c r="L74" s="551">
        <v>520759.83</v>
      </c>
    </row>
    <row r="75" spans="1:12">
      <c r="A75" s="171" t="s">
        <v>1022</v>
      </c>
      <c r="B75" s="171" t="s">
        <v>1037</v>
      </c>
      <c r="C75" s="549" t="s">
        <v>1041</v>
      </c>
      <c r="D75" s="549" t="s">
        <v>290</v>
      </c>
      <c r="E75" s="549" t="s">
        <v>291</v>
      </c>
      <c r="F75" s="549" t="s">
        <v>932</v>
      </c>
      <c r="G75" s="550">
        <v>127360.65</v>
      </c>
      <c r="H75" s="523"/>
      <c r="I75" s="523"/>
      <c r="J75" s="523"/>
      <c r="K75" s="523"/>
      <c r="L75" s="551">
        <v>127360.65</v>
      </c>
    </row>
    <row r="76" spans="1:12">
      <c r="A76" s="171" t="s">
        <v>1022</v>
      </c>
      <c r="B76" s="171" t="s">
        <v>1037</v>
      </c>
      <c r="C76" s="549" t="s">
        <v>1041</v>
      </c>
      <c r="D76" s="549" t="s">
        <v>292</v>
      </c>
      <c r="E76" s="549" t="s">
        <v>293</v>
      </c>
      <c r="F76" s="549" t="s">
        <v>933</v>
      </c>
      <c r="G76" s="550">
        <v>3718799.04</v>
      </c>
      <c r="H76" s="550">
        <v>1177185.31</v>
      </c>
      <c r="I76" s="550">
        <v>-119052.64</v>
      </c>
      <c r="J76" s="523"/>
      <c r="K76" s="523"/>
      <c r="L76" s="551">
        <v>4776931.71</v>
      </c>
    </row>
    <row r="77" spans="1:12">
      <c r="A77" s="171" t="s">
        <v>1022</v>
      </c>
      <c r="B77" s="171" t="s">
        <v>1037</v>
      </c>
      <c r="C77" s="549" t="s">
        <v>1041</v>
      </c>
      <c r="D77" s="549" t="s">
        <v>85</v>
      </c>
      <c r="E77" s="549" t="s">
        <v>294</v>
      </c>
      <c r="F77" s="549" t="s">
        <v>934</v>
      </c>
      <c r="G77" s="550">
        <v>2942202.89</v>
      </c>
      <c r="H77" s="523"/>
      <c r="I77" s="550">
        <v>-16109.06</v>
      </c>
      <c r="J77" s="523"/>
      <c r="K77" s="523"/>
      <c r="L77" s="551">
        <v>2926093.83</v>
      </c>
    </row>
    <row r="78" spans="1:12">
      <c r="A78" s="171" t="s">
        <v>1022</v>
      </c>
      <c r="B78" s="171" t="s">
        <v>1037</v>
      </c>
      <c r="C78" s="549" t="s">
        <v>1042</v>
      </c>
      <c r="D78" s="555" t="s">
        <v>248</v>
      </c>
      <c r="E78" s="549" t="s">
        <v>249</v>
      </c>
      <c r="F78" s="549" t="s">
        <v>937</v>
      </c>
      <c r="G78" s="550">
        <v>0</v>
      </c>
      <c r="H78" s="523"/>
      <c r="I78" s="523"/>
      <c r="J78" s="523"/>
      <c r="K78" s="523"/>
      <c r="L78" s="551">
        <v>0</v>
      </c>
    </row>
    <row r="79" spans="1:12">
      <c r="A79" s="171" t="s">
        <v>1022</v>
      </c>
      <c r="B79" s="171" t="s">
        <v>1037</v>
      </c>
      <c r="C79" s="549" t="s">
        <v>1042</v>
      </c>
      <c r="D79" s="556"/>
      <c r="E79" s="549" t="s">
        <v>249</v>
      </c>
      <c r="F79" s="549" t="s">
        <v>938</v>
      </c>
      <c r="G79" s="550">
        <v>77768.45</v>
      </c>
      <c r="H79" s="523"/>
      <c r="I79" s="523"/>
      <c r="J79" s="523"/>
      <c r="K79" s="523"/>
      <c r="L79" s="551">
        <v>77768.45</v>
      </c>
    </row>
    <row r="80" spans="1:12">
      <c r="A80" s="171" t="s">
        <v>1022</v>
      </c>
      <c r="B80" s="171" t="s">
        <v>1037</v>
      </c>
      <c r="C80" s="549" t="s">
        <v>1042</v>
      </c>
      <c r="D80" s="556"/>
      <c r="E80" s="549" t="s">
        <v>249</v>
      </c>
      <c r="F80" s="549" t="s">
        <v>939</v>
      </c>
      <c r="G80" s="550">
        <v>115551.84</v>
      </c>
      <c r="H80" s="523"/>
      <c r="I80" s="523"/>
      <c r="J80" s="523"/>
      <c r="K80" s="523"/>
      <c r="L80" s="551">
        <v>115551.84</v>
      </c>
    </row>
    <row r="81" spans="1:12">
      <c r="A81" s="171" t="s">
        <v>1022</v>
      </c>
      <c r="B81" s="171" t="s">
        <v>1037</v>
      </c>
      <c r="C81" s="549" t="s">
        <v>1042</v>
      </c>
      <c r="D81" s="556"/>
      <c r="E81" s="549" t="s">
        <v>249</v>
      </c>
      <c r="F81" s="549" t="s">
        <v>940</v>
      </c>
      <c r="G81" s="550">
        <v>16204.97</v>
      </c>
      <c r="H81" s="523"/>
      <c r="I81" s="523"/>
      <c r="J81" s="523"/>
      <c r="K81" s="523"/>
      <c r="L81" s="551">
        <v>16204.97</v>
      </c>
    </row>
    <row r="82" spans="1:12">
      <c r="A82" s="171" t="s">
        <v>1022</v>
      </c>
      <c r="B82" s="171" t="s">
        <v>1037</v>
      </c>
      <c r="C82" s="549" t="s">
        <v>1042</v>
      </c>
      <c r="D82" s="556"/>
      <c r="E82" s="549" t="s">
        <v>249</v>
      </c>
      <c r="F82" s="549" t="s">
        <v>941</v>
      </c>
      <c r="G82" s="550">
        <v>37172.97</v>
      </c>
      <c r="H82" s="523"/>
      <c r="I82" s="523"/>
      <c r="J82" s="523"/>
      <c r="K82" s="523"/>
      <c r="L82" s="551">
        <v>37172.97</v>
      </c>
    </row>
    <row r="83" spans="1:12">
      <c r="A83" s="171" t="s">
        <v>1022</v>
      </c>
      <c r="B83" s="171" t="s">
        <v>1037</v>
      </c>
      <c r="C83" s="549" t="s">
        <v>1042</v>
      </c>
      <c r="D83" s="556"/>
      <c r="E83" s="549" t="s">
        <v>249</v>
      </c>
      <c r="F83" s="549" t="s">
        <v>942</v>
      </c>
      <c r="G83" s="550">
        <v>18967.98</v>
      </c>
      <c r="H83" s="523"/>
      <c r="I83" s="523"/>
      <c r="J83" s="523"/>
      <c r="K83" s="523"/>
      <c r="L83" s="551">
        <v>18967.98</v>
      </c>
    </row>
    <row r="84" spans="1:12">
      <c r="A84" s="171" t="s">
        <v>1022</v>
      </c>
      <c r="B84" s="171" t="s">
        <v>1037</v>
      </c>
      <c r="C84" s="549" t="s">
        <v>1042</v>
      </c>
      <c r="D84" s="556"/>
      <c r="E84" s="549" t="s">
        <v>249</v>
      </c>
      <c r="F84" s="549" t="s">
        <v>943</v>
      </c>
      <c r="G84" s="550">
        <v>26339.4</v>
      </c>
      <c r="H84" s="523"/>
      <c r="I84" s="523"/>
      <c r="J84" s="523"/>
      <c r="K84" s="523"/>
      <c r="L84" s="551">
        <v>26339.4</v>
      </c>
    </row>
    <row r="85" spans="1:12">
      <c r="A85" s="171" t="s">
        <v>1022</v>
      </c>
      <c r="B85" s="171" t="s">
        <v>1037</v>
      </c>
      <c r="C85" s="549" t="s">
        <v>1042</v>
      </c>
      <c r="D85" s="557"/>
      <c r="E85" s="549" t="s">
        <v>249</v>
      </c>
      <c r="F85" s="549" t="s">
        <v>944</v>
      </c>
      <c r="G85" s="550">
        <v>25696.19</v>
      </c>
      <c r="H85" s="523"/>
      <c r="I85" s="523"/>
      <c r="J85" s="523"/>
      <c r="K85" s="523"/>
      <c r="L85" s="551">
        <v>25696.19</v>
      </c>
    </row>
    <row r="86" spans="1:12">
      <c r="A86" s="171" t="s">
        <v>1022</v>
      </c>
      <c r="B86" s="171" t="s">
        <v>1037</v>
      </c>
      <c r="C86" s="549" t="s">
        <v>1043</v>
      </c>
      <c r="D86" s="555" t="s">
        <v>248</v>
      </c>
      <c r="E86" s="549" t="s">
        <v>249</v>
      </c>
      <c r="F86" s="549" t="s">
        <v>951</v>
      </c>
      <c r="G86" s="550">
        <v>15603.55</v>
      </c>
      <c r="H86" s="550">
        <v>0</v>
      </c>
      <c r="I86" s="523"/>
      <c r="J86" s="523"/>
      <c r="K86" s="523"/>
      <c r="L86" s="551">
        <v>15603.55</v>
      </c>
    </row>
    <row r="87" spans="1:12">
      <c r="A87" s="171" t="s">
        <v>1022</v>
      </c>
      <c r="B87" s="171" t="s">
        <v>1037</v>
      </c>
      <c r="C87" s="549" t="s">
        <v>1043</v>
      </c>
      <c r="D87" s="556"/>
      <c r="E87" s="549" t="s">
        <v>249</v>
      </c>
      <c r="F87" s="549" t="s">
        <v>952</v>
      </c>
      <c r="G87" s="550">
        <v>641614.18999999994</v>
      </c>
      <c r="H87" s="550">
        <v>239079.76</v>
      </c>
      <c r="I87" s="523"/>
      <c r="J87" s="523"/>
      <c r="K87" s="523"/>
      <c r="L87" s="551">
        <v>880693.95</v>
      </c>
    </row>
    <row r="88" spans="1:12">
      <c r="A88" s="171" t="s">
        <v>1022</v>
      </c>
      <c r="B88" s="171" t="s">
        <v>1037</v>
      </c>
      <c r="C88" s="549" t="s">
        <v>1043</v>
      </c>
      <c r="D88" s="556"/>
      <c r="E88" s="549" t="s">
        <v>249</v>
      </c>
      <c r="F88" s="549" t="s">
        <v>953</v>
      </c>
      <c r="G88" s="550">
        <v>1321031.49</v>
      </c>
      <c r="H88" s="550">
        <v>994.17</v>
      </c>
      <c r="I88" s="523"/>
      <c r="J88" s="523"/>
      <c r="K88" s="523"/>
      <c r="L88" s="551">
        <v>1322025.6599999999</v>
      </c>
    </row>
    <row r="89" spans="1:12">
      <c r="A89" s="171" t="s">
        <v>1022</v>
      </c>
      <c r="B89" s="171" t="s">
        <v>1037</v>
      </c>
      <c r="C89" s="549" t="s">
        <v>1043</v>
      </c>
      <c r="D89" s="556"/>
      <c r="E89" s="549" t="s">
        <v>249</v>
      </c>
      <c r="F89" s="549" t="s">
        <v>954</v>
      </c>
      <c r="G89" s="550">
        <v>1753634.41</v>
      </c>
      <c r="H89" s="550">
        <v>197940.51</v>
      </c>
      <c r="I89" s="523"/>
      <c r="J89" s="523"/>
      <c r="K89" s="523"/>
      <c r="L89" s="551">
        <v>1951574.92</v>
      </c>
    </row>
    <row r="90" spans="1:12">
      <c r="A90" s="171" t="s">
        <v>1022</v>
      </c>
      <c r="B90" s="171" t="s">
        <v>1037</v>
      </c>
      <c r="C90" s="549" t="s">
        <v>1043</v>
      </c>
      <c r="D90" s="556"/>
      <c r="E90" s="549" t="s">
        <v>249</v>
      </c>
      <c r="F90" s="549" t="s">
        <v>955</v>
      </c>
      <c r="G90" s="550">
        <v>135286.20000000001</v>
      </c>
      <c r="H90" s="550">
        <v>90432.8</v>
      </c>
      <c r="I90" s="523"/>
      <c r="J90" s="523"/>
      <c r="K90" s="523"/>
      <c r="L90" s="551">
        <v>225719</v>
      </c>
    </row>
    <row r="91" spans="1:12">
      <c r="A91" s="171" t="s">
        <v>1022</v>
      </c>
      <c r="B91" s="171" t="s">
        <v>1037</v>
      </c>
      <c r="C91" s="549" t="s">
        <v>1043</v>
      </c>
      <c r="D91" s="556"/>
      <c r="E91" s="549" t="s">
        <v>249</v>
      </c>
      <c r="F91" s="549" t="s">
        <v>956</v>
      </c>
      <c r="G91" s="550">
        <v>14051.68</v>
      </c>
      <c r="H91" s="523"/>
      <c r="I91" s="523"/>
      <c r="J91" s="523"/>
      <c r="K91" s="523"/>
      <c r="L91" s="551">
        <v>14051.68</v>
      </c>
    </row>
    <row r="92" spans="1:12">
      <c r="A92" s="171" t="s">
        <v>1022</v>
      </c>
      <c r="B92" s="171" t="s">
        <v>1037</v>
      </c>
      <c r="C92" s="549" t="s">
        <v>1043</v>
      </c>
      <c r="D92" s="556"/>
      <c r="E92" s="549" t="s">
        <v>249</v>
      </c>
      <c r="F92" s="549" t="s">
        <v>957</v>
      </c>
      <c r="G92" s="550">
        <v>1070880.6399999999</v>
      </c>
      <c r="H92" s="550">
        <v>136902.21</v>
      </c>
      <c r="I92" s="523"/>
      <c r="J92" s="523"/>
      <c r="K92" s="523"/>
      <c r="L92" s="551">
        <v>1207782.8500000001</v>
      </c>
    </row>
    <row r="93" spans="1:12">
      <c r="A93" s="171" t="s">
        <v>1022</v>
      </c>
      <c r="B93" s="171" t="s">
        <v>1037</v>
      </c>
      <c r="C93" s="549" t="s">
        <v>1043</v>
      </c>
      <c r="D93" s="556"/>
      <c r="E93" s="549" t="s">
        <v>249</v>
      </c>
      <c r="F93" s="549" t="s">
        <v>958</v>
      </c>
      <c r="G93" s="550">
        <v>1092319.55</v>
      </c>
      <c r="H93" s="550">
        <v>246133.72</v>
      </c>
      <c r="I93" s="523"/>
      <c r="J93" s="523"/>
      <c r="K93" s="523"/>
      <c r="L93" s="551">
        <v>1338453.27</v>
      </c>
    </row>
    <row r="94" spans="1:12">
      <c r="A94" s="171" t="s">
        <v>1022</v>
      </c>
      <c r="B94" s="171" t="s">
        <v>1037</v>
      </c>
      <c r="C94" s="549" t="s">
        <v>1043</v>
      </c>
      <c r="D94" s="556"/>
      <c r="E94" s="549" t="s">
        <v>249</v>
      </c>
      <c r="F94" s="549" t="s">
        <v>959</v>
      </c>
      <c r="G94" s="550">
        <v>61574.22</v>
      </c>
      <c r="H94" s="523"/>
      <c r="I94" s="523"/>
      <c r="J94" s="523"/>
      <c r="K94" s="523"/>
      <c r="L94" s="551">
        <v>61574.22</v>
      </c>
    </row>
    <row r="95" spans="1:12">
      <c r="A95" s="171" t="s">
        <v>1022</v>
      </c>
      <c r="B95" s="171" t="s">
        <v>1037</v>
      </c>
      <c r="C95" s="549" t="s">
        <v>1043</v>
      </c>
      <c r="D95" s="556"/>
      <c r="E95" s="549" t="s">
        <v>249</v>
      </c>
      <c r="F95" s="549" t="s">
        <v>960</v>
      </c>
      <c r="G95" s="550">
        <v>257971.9</v>
      </c>
      <c r="H95" s="550">
        <v>83688.5</v>
      </c>
      <c r="I95" s="523"/>
      <c r="J95" s="523"/>
      <c r="K95" s="523"/>
      <c r="L95" s="551">
        <v>341660.4</v>
      </c>
    </row>
    <row r="96" spans="1:12">
      <c r="A96" s="171" t="s">
        <v>1022</v>
      </c>
      <c r="B96" s="171" t="s">
        <v>1037</v>
      </c>
      <c r="C96" s="549" t="s">
        <v>1043</v>
      </c>
      <c r="D96" s="556"/>
      <c r="E96" s="549" t="s">
        <v>249</v>
      </c>
      <c r="F96" s="549" t="s">
        <v>961</v>
      </c>
      <c r="G96" s="550">
        <v>1028375.44</v>
      </c>
      <c r="H96" s="550">
        <v>169097.7</v>
      </c>
      <c r="I96" s="523"/>
      <c r="J96" s="523"/>
      <c r="K96" s="523"/>
      <c r="L96" s="551">
        <v>1197473.1399999999</v>
      </c>
    </row>
    <row r="97" spans="1:12">
      <c r="A97" s="171" t="s">
        <v>1022</v>
      </c>
      <c r="B97" s="171" t="s">
        <v>1037</v>
      </c>
      <c r="C97" s="549" t="s">
        <v>1043</v>
      </c>
      <c r="D97" s="556"/>
      <c r="E97" s="549" t="s">
        <v>249</v>
      </c>
      <c r="F97" s="549" t="s">
        <v>962</v>
      </c>
      <c r="G97" s="550">
        <v>14051.68</v>
      </c>
      <c r="H97" s="523"/>
      <c r="I97" s="523"/>
      <c r="J97" s="523"/>
      <c r="K97" s="523"/>
      <c r="L97" s="551">
        <v>14051.68</v>
      </c>
    </row>
    <row r="98" spans="1:12">
      <c r="A98" s="171" t="s">
        <v>1022</v>
      </c>
      <c r="B98" s="171" t="s">
        <v>1037</v>
      </c>
      <c r="C98" s="549" t="s">
        <v>1043</v>
      </c>
      <c r="D98" s="557"/>
      <c r="E98" s="549" t="s">
        <v>249</v>
      </c>
      <c r="F98" s="549" t="s">
        <v>963</v>
      </c>
      <c r="G98" s="550">
        <v>0</v>
      </c>
      <c r="H98" s="523"/>
      <c r="I98" s="523"/>
      <c r="J98" s="523"/>
      <c r="K98" s="523"/>
      <c r="L98" s="551">
        <v>0</v>
      </c>
    </row>
    <row r="99" spans="1:12">
      <c r="A99" s="171" t="s">
        <v>1022</v>
      </c>
      <c r="B99" s="171" t="s">
        <v>1037</v>
      </c>
      <c r="C99" s="549" t="s">
        <v>1044</v>
      </c>
      <c r="D99" s="555" t="s">
        <v>248</v>
      </c>
      <c r="E99" s="549" t="s">
        <v>249</v>
      </c>
      <c r="F99" s="549" t="s">
        <v>965</v>
      </c>
      <c r="G99" s="550">
        <v>0</v>
      </c>
      <c r="H99" s="523"/>
      <c r="I99" s="523"/>
      <c r="J99" s="523"/>
      <c r="K99" s="523"/>
      <c r="L99" s="551">
        <v>0</v>
      </c>
    </row>
    <row r="100" spans="1:12">
      <c r="A100" s="171" t="s">
        <v>1022</v>
      </c>
      <c r="B100" s="171" t="s">
        <v>1037</v>
      </c>
      <c r="C100" s="549" t="s">
        <v>1044</v>
      </c>
      <c r="D100" s="556"/>
      <c r="E100" s="549" t="s">
        <v>249</v>
      </c>
      <c r="F100" s="549" t="s">
        <v>966</v>
      </c>
      <c r="G100" s="550">
        <v>7648.03</v>
      </c>
      <c r="H100" s="523"/>
      <c r="I100" s="523"/>
      <c r="J100" s="523"/>
      <c r="K100" s="523"/>
      <c r="L100" s="551">
        <v>7648.03</v>
      </c>
    </row>
    <row r="101" spans="1:12">
      <c r="A101" s="171" t="s">
        <v>1022</v>
      </c>
      <c r="B101" s="171" t="s">
        <v>1037</v>
      </c>
      <c r="C101" s="549" t="s">
        <v>1044</v>
      </c>
      <c r="D101" s="556"/>
      <c r="E101" s="549" t="s">
        <v>249</v>
      </c>
      <c r="F101" s="549" t="s">
        <v>967</v>
      </c>
      <c r="G101" s="550">
        <v>0</v>
      </c>
      <c r="H101" s="523"/>
      <c r="I101" s="523"/>
      <c r="J101" s="523"/>
      <c r="K101" s="523"/>
      <c r="L101" s="551">
        <v>0</v>
      </c>
    </row>
    <row r="102" spans="1:12">
      <c r="A102" s="171" t="s">
        <v>1022</v>
      </c>
      <c r="B102" s="171" t="s">
        <v>1037</v>
      </c>
      <c r="C102" s="549" t="s">
        <v>1044</v>
      </c>
      <c r="D102" s="556"/>
      <c r="E102" s="549" t="s">
        <v>249</v>
      </c>
      <c r="F102" s="549" t="s">
        <v>968</v>
      </c>
      <c r="G102" s="550">
        <v>0</v>
      </c>
      <c r="H102" s="523"/>
      <c r="I102" s="523"/>
      <c r="J102" s="523"/>
      <c r="K102" s="523"/>
      <c r="L102" s="551">
        <v>0</v>
      </c>
    </row>
    <row r="103" spans="1:12">
      <c r="A103" s="171" t="s">
        <v>1022</v>
      </c>
      <c r="B103" s="171" t="s">
        <v>1037</v>
      </c>
      <c r="C103" s="549" t="s">
        <v>1044</v>
      </c>
      <c r="D103" s="556"/>
      <c r="E103" s="549" t="s">
        <v>249</v>
      </c>
      <c r="F103" s="549" t="s">
        <v>969</v>
      </c>
      <c r="G103" s="550">
        <v>6148.43</v>
      </c>
      <c r="H103" s="523"/>
      <c r="I103" s="523"/>
      <c r="J103" s="523"/>
      <c r="K103" s="523"/>
      <c r="L103" s="551">
        <v>6148.43</v>
      </c>
    </row>
    <row r="104" spans="1:12">
      <c r="A104" s="171" t="s">
        <v>1022</v>
      </c>
      <c r="B104" s="171" t="s">
        <v>1037</v>
      </c>
      <c r="C104" s="549" t="s">
        <v>1044</v>
      </c>
      <c r="D104" s="556"/>
      <c r="E104" s="549" t="s">
        <v>249</v>
      </c>
      <c r="F104" s="549" t="s">
        <v>970</v>
      </c>
      <c r="G104" s="550">
        <v>6148.43</v>
      </c>
      <c r="H104" s="523"/>
      <c r="I104" s="523"/>
      <c r="J104" s="523"/>
      <c r="K104" s="523"/>
      <c r="L104" s="551">
        <v>6148.43</v>
      </c>
    </row>
    <row r="105" spans="1:12">
      <c r="A105" s="171" t="s">
        <v>1022</v>
      </c>
      <c r="B105" s="171" t="s">
        <v>1037</v>
      </c>
      <c r="C105" s="549" t="s">
        <v>1044</v>
      </c>
      <c r="D105" s="556"/>
      <c r="E105" s="549" t="s">
        <v>249</v>
      </c>
      <c r="F105" s="549" t="s">
        <v>971</v>
      </c>
      <c r="G105" s="550">
        <v>5848.49</v>
      </c>
      <c r="H105" s="523"/>
      <c r="I105" s="523"/>
      <c r="J105" s="523"/>
      <c r="K105" s="523"/>
      <c r="L105" s="551">
        <v>5848.49</v>
      </c>
    </row>
    <row r="106" spans="1:12">
      <c r="A106" s="171" t="s">
        <v>1022</v>
      </c>
      <c r="B106" s="171" t="s">
        <v>1037</v>
      </c>
      <c r="C106" s="549" t="s">
        <v>1044</v>
      </c>
      <c r="D106" s="557"/>
      <c r="E106" s="549" t="s">
        <v>249</v>
      </c>
      <c r="F106" s="549" t="s">
        <v>972</v>
      </c>
      <c r="G106" s="550">
        <v>7348.1</v>
      </c>
      <c r="H106" s="523"/>
      <c r="I106" s="523"/>
      <c r="J106" s="523"/>
      <c r="K106" s="523"/>
      <c r="L106" s="551">
        <v>7348.1</v>
      </c>
    </row>
    <row r="107" spans="1:12">
      <c r="A107" s="171" t="s">
        <v>1022</v>
      </c>
      <c r="B107" s="171" t="s">
        <v>1037</v>
      </c>
      <c r="C107" s="549" t="s">
        <v>1045</v>
      </c>
      <c r="D107" s="555" t="s">
        <v>248</v>
      </c>
      <c r="E107" s="549" t="s">
        <v>249</v>
      </c>
      <c r="F107" s="549" t="s">
        <v>974</v>
      </c>
      <c r="G107" s="550">
        <v>0</v>
      </c>
      <c r="H107" s="523"/>
      <c r="I107" s="523"/>
      <c r="J107" s="523"/>
      <c r="K107" s="523"/>
      <c r="L107" s="551">
        <v>0</v>
      </c>
    </row>
    <row r="108" spans="1:12">
      <c r="A108" s="171" t="s">
        <v>1022</v>
      </c>
      <c r="B108" s="171" t="s">
        <v>1037</v>
      </c>
      <c r="C108" s="549" t="s">
        <v>1045</v>
      </c>
      <c r="D108" s="556"/>
      <c r="E108" s="549" t="s">
        <v>249</v>
      </c>
      <c r="F108" s="549" t="s">
        <v>975</v>
      </c>
      <c r="G108" s="550">
        <v>562087.93999999994</v>
      </c>
      <c r="H108" s="550">
        <v>162501.60999999999</v>
      </c>
      <c r="I108" s="550">
        <v>-42223.1</v>
      </c>
      <c r="J108" s="523"/>
      <c r="K108" s="523"/>
      <c r="L108" s="551">
        <v>682366.45</v>
      </c>
    </row>
    <row r="109" spans="1:12">
      <c r="A109" s="171" t="s">
        <v>1022</v>
      </c>
      <c r="B109" s="171" t="s">
        <v>1037</v>
      </c>
      <c r="C109" s="549" t="s">
        <v>1045</v>
      </c>
      <c r="D109" s="556"/>
      <c r="E109" s="549" t="s">
        <v>249</v>
      </c>
      <c r="F109" s="549" t="s">
        <v>976</v>
      </c>
      <c r="G109" s="550">
        <v>263253.67</v>
      </c>
      <c r="H109" s="523"/>
      <c r="I109" s="523"/>
      <c r="J109" s="523"/>
      <c r="K109" s="523"/>
      <c r="L109" s="551">
        <v>263253.67</v>
      </c>
    </row>
    <row r="110" spans="1:12">
      <c r="A110" s="171" t="s">
        <v>1022</v>
      </c>
      <c r="B110" s="171" t="s">
        <v>1037</v>
      </c>
      <c r="C110" s="549" t="s">
        <v>1045</v>
      </c>
      <c r="D110" s="556"/>
      <c r="E110" s="549" t="s">
        <v>249</v>
      </c>
      <c r="F110" s="549" t="s">
        <v>977</v>
      </c>
      <c r="G110" s="550">
        <v>625795.24</v>
      </c>
      <c r="H110" s="550">
        <v>165.09</v>
      </c>
      <c r="I110" s="550">
        <v>-84363.11</v>
      </c>
      <c r="J110" s="523"/>
      <c r="K110" s="523"/>
      <c r="L110" s="551">
        <v>541597.22</v>
      </c>
    </row>
    <row r="111" spans="1:12">
      <c r="A111" s="171" t="s">
        <v>1022</v>
      </c>
      <c r="B111" s="171" t="s">
        <v>1037</v>
      </c>
      <c r="C111" s="549" t="s">
        <v>1045</v>
      </c>
      <c r="D111" s="556"/>
      <c r="E111" s="549" t="s">
        <v>249</v>
      </c>
      <c r="F111" s="549" t="s">
        <v>978</v>
      </c>
      <c r="G111" s="550">
        <v>584465.17000000004</v>
      </c>
      <c r="H111" s="523"/>
      <c r="I111" s="550">
        <v>-69041.61</v>
      </c>
      <c r="J111" s="523"/>
      <c r="K111" s="523"/>
      <c r="L111" s="551">
        <v>515423.56</v>
      </c>
    </row>
    <row r="112" spans="1:12">
      <c r="A112" s="171" t="s">
        <v>1022</v>
      </c>
      <c r="B112" s="171" t="s">
        <v>1037</v>
      </c>
      <c r="C112" s="549" t="s">
        <v>1045</v>
      </c>
      <c r="D112" s="556"/>
      <c r="E112" s="549" t="s">
        <v>249</v>
      </c>
      <c r="F112" s="549" t="s">
        <v>979</v>
      </c>
      <c r="G112" s="550">
        <v>283593.89</v>
      </c>
      <c r="H112" s="523"/>
      <c r="I112" s="523"/>
      <c r="J112" s="523"/>
      <c r="K112" s="523"/>
      <c r="L112" s="551">
        <v>283593.89</v>
      </c>
    </row>
    <row r="113" spans="1:13">
      <c r="A113" s="171" t="s">
        <v>1022</v>
      </c>
      <c r="B113" s="171" t="s">
        <v>1037</v>
      </c>
      <c r="C113" s="549" t="s">
        <v>1045</v>
      </c>
      <c r="D113" s="556"/>
      <c r="E113" s="549" t="s">
        <v>249</v>
      </c>
      <c r="F113" s="549" t="s">
        <v>980</v>
      </c>
      <c r="G113" s="550">
        <v>821131.76</v>
      </c>
      <c r="H113" s="523"/>
      <c r="I113" s="523"/>
      <c r="J113" s="523"/>
      <c r="K113" s="523"/>
      <c r="L113" s="551">
        <v>821131.76</v>
      </c>
    </row>
    <row r="114" spans="1:13">
      <c r="A114" s="171" t="s">
        <v>1022</v>
      </c>
      <c r="B114" s="171" t="s">
        <v>1037</v>
      </c>
      <c r="C114" s="549" t="s">
        <v>1045</v>
      </c>
      <c r="D114" s="556"/>
      <c r="E114" s="549" t="s">
        <v>249</v>
      </c>
      <c r="F114" s="549" t="s">
        <v>981</v>
      </c>
      <c r="G114" s="550">
        <v>174435.03</v>
      </c>
      <c r="H114" s="550">
        <v>50260.37</v>
      </c>
      <c r="I114" s="523"/>
      <c r="J114" s="523"/>
      <c r="K114" s="523"/>
      <c r="L114" s="551">
        <v>224695.4</v>
      </c>
    </row>
    <row r="115" spans="1:13">
      <c r="A115" s="171" t="s">
        <v>1022</v>
      </c>
      <c r="B115" s="171" t="s">
        <v>1037</v>
      </c>
      <c r="C115" s="549" t="s">
        <v>1045</v>
      </c>
      <c r="D115" s="556"/>
      <c r="E115" s="549" t="s">
        <v>249</v>
      </c>
      <c r="F115" s="549" t="s">
        <v>982</v>
      </c>
      <c r="G115" s="550">
        <v>465375.66</v>
      </c>
      <c r="H115" s="523"/>
      <c r="I115" s="523"/>
      <c r="J115" s="523"/>
      <c r="K115" s="523"/>
      <c r="L115" s="551">
        <v>465375.66</v>
      </c>
    </row>
    <row r="116" spans="1:13">
      <c r="A116" s="171" t="s">
        <v>1022</v>
      </c>
      <c r="B116" s="171" t="s">
        <v>1037</v>
      </c>
      <c r="C116" s="549" t="s">
        <v>1045</v>
      </c>
      <c r="D116" s="557"/>
      <c r="E116" s="549" t="s">
        <v>249</v>
      </c>
      <c r="F116" s="549" t="s">
        <v>983</v>
      </c>
      <c r="G116" s="550">
        <v>2728.11</v>
      </c>
      <c r="H116" s="523"/>
      <c r="I116" s="523"/>
      <c r="J116" s="523"/>
      <c r="K116" s="523"/>
      <c r="L116" s="551">
        <v>2728.11</v>
      </c>
    </row>
    <row r="117" spans="1:13">
      <c r="A117" s="171" t="s">
        <v>1022</v>
      </c>
      <c r="B117" s="171" t="s">
        <v>1037</v>
      </c>
      <c r="C117" s="549" t="s">
        <v>1046</v>
      </c>
      <c r="D117" s="555" t="s">
        <v>248</v>
      </c>
      <c r="E117" s="549" t="s">
        <v>249</v>
      </c>
      <c r="F117" s="549" t="s">
        <v>984</v>
      </c>
      <c r="G117" s="550">
        <v>797632.9</v>
      </c>
      <c r="H117" s="523"/>
      <c r="I117" s="550">
        <v>-11201.58</v>
      </c>
      <c r="J117" s="523"/>
      <c r="K117" s="523"/>
      <c r="L117" s="667">
        <v>786431.32</v>
      </c>
    </row>
    <row r="118" spans="1:13">
      <c r="A118" s="171" t="s">
        <v>1022</v>
      </c>
      <c r="B118" s="171" t="s">
        <v>1037</v>
      </c>
      <c r="C118" s="549" t="s">
        <v>1046</v>
      </c>
      <c r="D118" s="556"/>
      <c r="E118" s="549" t="s">
        <v>249</v>
      </c>
      <c r="F118" s="549" t="s">
        <v>1047</v>
      </c>
      <c r="G118" s="550">
        <v>777893.45</v>
      </c>
      <c r="H118" s="523"/>
      <c r="I118" s="523"/>
      <c r="J118" s="523"/>
      <c r="K118" s="523"/>
      <c r="L118" s="667">
        <v>777893.45</v>
      </c>
    </row>
    <row r="119" spans="1:13">
      <c r="A119" s="171" t="s">
        <v>1022</v>
      </c>
      <c r="B119" s="171" t="s">
        <v>1037</v>
      </c>
      <c r="C119" s="549" t="s">
        <v>1046</v>
      </c>
      <c r="D119" s="556"/>
      <c r="E119" s="549" t="s">
        <v>249</v>
      </c>
      <c r="F119" s="549" t="s">
        <v>1048</v>
      </c>
      <c r="G119" s="550">
        <v>878223.9</v>
      </c>
      <c r="H119" s="550">
        <v>554.66999999999996</v>
      </c>
      <c r="I119" s="523"/>
      <c r="J119" s="523"/>
      <c r="K119" s="523"/>
      <c r="L119" s="667">
        <v>878778.57</v>
      </c>
    </row>
    <row r="120" spans="1:13">
      <c r="A120" s="171" t="s">
        <v>1022</v>
      </c>
      <c r="B120" s="171" t="s">
        <v>1037</v>
      </c>
      <c r="C120" s="549" t="s">
        <v>1046</v>
      </c>
      <c r="D120" s="556"/>
      <c r="E120" s="549" t="s">
        <v>249</v>
      </c>
      <c r="F120" s="549" t="s">
        <v>1049</v>
      </c>
      <c r="G120" s="550">
        <v>185142.22</v>
      </c>
      <c r="H120" s="523"/>
      <c r="I120" s="523"/>
      <c r="J120" s="523"/>
      <c r="K120" s="523"/>
      <c r="L120" s="667">
        <v>185142.22</v>
      </c>
    </row>
    <row r="121" spans="1:13">
      <c r="A121" s="171" t="s">
        <v>1022</v>
      </c>
      <c r="B121" s="171" t="s">
        <v>1037</v>
      </c>
      <c r="C121" s="549" t="s">
        <v>1046</v>
      </c>
      <c r="D121" s="556"/>
      <c r="E121" s="549" t="s">
        <v>249</v>
      </c>
      <c r="F121" s="549" t="s">
        <v>1050</v>
      </c>
      <c r="G121" s="550">
        <v>1016244.12</v>
      </c>
      <c r="H121" s="523"/>
      <c r="I121" s="523"/>
      <c r="J121" s="523"/>
      <c r="K121" s="523"/>
      <c r="L121" s="667">
        <v>1016244.12</v>
      </c>
    </row>
    <row r="122" spans="1:13">
      <c r="A122" s="171" t="s">
        <v>1022</v>
      </c>
      <c r="B122" s="171" t="s">
        <v>1037</v>
      </c>
      <c r="C122" s="549" t="s">
        <v>1046</v>
      </c>
      <c r="D122" s="556"/>
      <c r="E122" s="549" t="s">
        <v>249</v>
      </c>
      <c r="F122" s="549" t="s">
        <v>1051</v>
      </c>
      <c r="G122" s="550">
        <v>14741.5</v>
      </c>
      <c r="H122" s="523"/>
      <c r="I122" s="523"/>
      <c r="J122" s="523"/>
      <c r="K122" s="523"/>
      <c r="L122" s="667">
        <v>14741.5</v>
      </c>
    </row>
    <row r="123" spans="1:13">
      <c r="A123" s="171" t="s">
        <v>1022</v>
      </c>
      <c r="B123" s="171" t="s">
        <v>1037</v>
      </c>
      <c r="C123" s="549" t="s">
        <v>1046</v>
      </c>
      <c r="D123" s="557"/>
      <c r="E123" s="549" t="s">
        <v>249</v>
      </c>
      <c r="F123" s="549" t="s">
        <v>1052</v>
      </c>
      <c r="G123" s="550">
        <v>661289.51</v>
      </c>
      <c r="H123" s="550">
        <v>10314.950000000001</v>
      </c>
      <c r="I123" s="550">
        <v>-567.20000000000005</v>
      </c>
      <c r="J123" s="523"/>
      <c r="K123" s="523"/>
      <c r="L123" s="667">
        <v>671037.26</v>
      </c>
      <c r="M123" s="668">
        <f>SUM(L117:L123)</f>
        <v>4330268.4400000004</v>
      </c>
    </row>
    <row r="124" spans="1:13">
      <c r="A124" s="171" t="s">
        <v>1022</v>
      </c>
      <c r="B124" s="171" t="s">
        <v>1037</v>
      </c>
      <c r="C124" s="549" t="s">
        <v>1053</v>
      </c>
      <c r="D124" s="555" t="s">
        <v>248</v>
      </c>
      <c r="E124" s="549" t="s">
        <v>249</v>
      </c>
      <c r="F124" s="549" t="s">
        <v>986</v>
      </c>
      <c r="G124" s="550">
        <v>0</v>
      </c>
      <c r="H124" s="523"/>
      <c r="I124" s="523"/>
      <c r="J124" s="523"/>
      <c r="K124" s="523"/>
      <c r="L124" s="551">
        <v>0</v>
      </c>
    </row>
    <row r="125" spans="1:13">
      <c r="A125" s="171" t="s">
        <v>1022</v>
      </c>
      <c r="B125" s="171" t="s">
        <v>1037</v>
      </c>
      <c r="C125" s="549" t="s">
        <v>1053</v>
      </c>
      <c r="D125" s="556"/>
      <c r="E125" s="549" t="s">
        <v>249</v>
      </c>
      <c r="F125" s="549" t="s">
        <v>987</v>
      </c>
      <c r="G125" s="550">
        <v>54772.38</v>
      </c>
      <c r="H125" s="523"/>
      <c r="I125" s="523"/>
      <c r="J125" s="523"/>
      <c r="K125" s="523"/>
      <c r="L125" s="551">
        <v>54772.38</v>
      </c>
    </row>
    <row r="126" spans="1:13">
      <c r="A126" s="171" t="s">
        <v>1022</v>
      </c>
      <c r="B126" s="171" t="s">
        <v>1037</v>
      </c>
      <c r="C126" s="549" t="s">
        <v>1053</v>
      </c>
      <c r="D126" s="556"/>
      <c r="E126" s="549" t="s">
        <v>249</v>
      </c>
      <c r="F126" s="549" t="s">
        <v>988</v>
      </c>
      <c r="G126" s="550">
        <v>9486.91</v>
      </c>
      <c r="H126" s="523"/>
      <c r="I126" s="523"/>
      <c r="J126" s="523"/>
      <c r="K126" s="523"/>
      <c r="L126" s="551">
        <v>9486.91</v>
      </c>
    </row>
    <row r="127" spans="1:13">
      <c r="A127" s="171" t="s">
        <v>1022</v>
      </c>
      <c r="B127" s="171" t="s">
        <v>1037</v>
      </c>
      <c r="C127" s="549" t="s">
        <v>1053</v>
      </c>
      <c r="D127" s="556"/>
      <c r="E127" s="549" t="s">
        <v>249</v>
      </c>
      <c r="F127" s="549" t="s">
        <v>989</v>
      </c>
      <c r="G127" s="550">
        <v>4096.8599999999997</v>
      </c>
      <c r="H127" s="550">
        <v>1849.64</v>
      </c>
      <c r="I127" s="523"/>
      <c r="J127" s="523"/>
      <c r="K127" s="523"/>
      <c r="L127" s="551">
        <v>5946.5</v>
      </c>
    </row>
    <row r="128" spans="1:13">
      <c r="A128" s="171" t="s">
        <v>1022</v>
      </c>
      <c r="B128" s="171" t="s">
        <v>1037</v>
      </c>
      <c r="C128" s="549" t="s">
        <v>1053</v>
      </c>
      <c r="D128" s="556"/>
      <c r="E128" s="549" t="s">
        <v>249</v>
      </c>
      <c r="F128" s="549" t="s">
        <v>990</v>
      </c>
      <c r="G128" s="550">
        <v>15898.69</v>
      </c>
      <c r="H128" s="523"/>
      <c r="I128" s="523"/>
      <c r="J128" s="523"/>
      <c r="K128" s="523"/>
      <c r="L128" s="551">
        <v>15898.69</v>
      </c>
    </row>
    <row r="129" spans="1:12">
      <c r="A129" s="171" t="s">
        <v>1022</v>
      </c>
      <c r="B129" s="171" t="s">
        <v>1037</v>
      </c>
      <c r="C129" s="549" t="s">
        <v>1053</v>
      </c>
      <c r="D129" s="556"/>
      <c r="E129" s="549" t="s">
        <v>249</v>
      </c>
      <c r="F129" s="549" t="s">
        <v>991</v>
      </c>
      <c r="G129" s="550">
        <v>77234.67</v>
      </c>
      <c r="H129" s="523"/>
      <c r="I129" s="523"/>
      <c r="J129" s="523"/>
      <c r="K129" s="523"/>
      <c r="L129" s="551">
        <v>77234.67</v>
      </c>
    </row>
    <row r="130" spans="1:12">
      <c r="A130" s="171" t="s">
        <v>1022</v>
      </c>
      <c r="B130" s="171" t="s">
        <v>1037</v>
      </c>
      <c r="C130" s="549" t="s">
        <v>1053</v>
      </c>
      <c r="D130" s="556"/>
      <c r="E130" s="549" t="s">
        <v>249</v>
      </c>
      <c r="F130" s="549" t="s">
        <v>992</v>
      </c>
      <c r="G130" s="550">
        <v>2563.89</v>
      </c>
      <c r="H130" s="523"/>
      <c r="I130" s="523"/>
      <c r="J130" s="523"/>
      <c r="K130" s="523"/>
      <c r="L130" s="551">
        <v>2563.89</v>
      </c>
    </row>
    <row r="131" spans="1:12">
      <c r="A131" s="171" t="s">
        <v>1022</v>
      </c>
      <c r="B131" s="171" t="s">
        <v>1037</v>
      </c>
      <c r="C131" s="549" t="s">
        <v>1053</v>
      </c>
      <c r="D131" s="556"/>
      <c r="E131" s="549" t="s">
        <v>249</v>
      </c>
      <c r="F131" s="549" t="s">
        <v>993</v>
      </c>
      <c r="G131" s="550">
        <v>0</v>
      </c>
      <c r="H131" s="523"/>
      <c r="I131" s="523"/>
      <c r="J131" s="523"/>
      <c r="K131" s="523"/>
      <c r="L131" s="551">
        <v>0</v>
      </c>
    </row>
    <row r="132" spans="1:12">
      <c r="A132" s="171" t="s">
        <v>1022</v>
      </c>
      <c r="B132" s="171" t="s">
        <v>1037</v>
      </c>
      <c r="C132" s="549" t="s">
        <v>1053</v>
      </c>
      <c r="D132" s="557"/>
      <c r="E132" s="549" t="s">
        <v>249</v>
      </c>
      <c r="F132" s="549" t="s">
        <v>994</v>
      </c>
      <c r="G132" s="550">
        <v>2781.26</v>
      </c>
      <c r="H132" s="523"/>
      <c r="I132" s="523"/>
      <c r="J132" s="523"/>
      <c r="K132" s="523"/>
      <c r="L132" s="551">
        <v>2781.26</v>
      </c>
    </row>
    <row r="133" spans="1:12">
      <c r="A133" s="169"/>
      <c r="B133" s="172" t="s">
        <v>1054</v>
      </c>
      <c r="C133" s="169"/>
      <c r="D133" s="169"/>
      <c r="E133" s="169"/>
      <c r="F133" s="169"/>
      <c r="G133" s="552">
        <v>65125708.109999999</v>
      </c>
      <c r="H133" s="552">
        <v>4310214.9800000004</v>
      </c>
      <c r="I133" s="552">
        <v>-1189982.78</v>
      </c>
      <c r="J133" s="552">
        <v>-61820.35</v>
      </c>
      <c r="K133" s="170"/>
      <c r="L133" s="553">
        <v>68184119.959999993</v>
      </c>
    </row>
    <row r="134" spans="1:12">
      <c r="A134" s="171" t="s">
        <v>1022</v>
      </c>
      <c r="B134" s="171" t="s">
        <v>1055</v>
      </c>
      <c r="C134" s="549" t="s">
        <v>1056</v>
      </c>
      <c r="D134" s="549" t="s">
        <v>248</v>
      </c>
      <c r="E134" s="549" t="s">
        <v>249</v>
      </c>
      <c r="F134" s="549" t="s">
        <v>833</v>
      </c>
      <c r="G134" s="550">
        <v>349890.22</v>
      </c>
      <c r="H134" s="523"/>
      <c r="I134" s="523"/>
      <c r="J134" s="523"/>
      <c r="K134" s="523"/>
      <c r="L134" s="551">
        <v>349890.22</v>
      </c>
    </row>
    <row r="135" spans="1:12">
      <c r="A135" s="171" t="s">
        <v>1022</v>
      </c>
      <c r="B135" s="171" t="s">
        <v>1055</v>
      </c>
      <c r="C135" s="549" t="s">
        <v>1057</v>
      </c>
      <c r="D135" s="549" t="s">
        <v>1058</v>
      </c>
      <c r="E135" s="549" t="s">
        <v>1059</v>
      </c>
      <c r="F135" s="549" t="s">
        <v>834</v>
      </c>
      <c r="G135" s="550">
        <v>0</v>
      </c>
      <c r="H135" s="523"/>
      <c r="I135" s="523"/>
      <c r="J135" s="523"/>
      <c r="K135" s="523"/>
      <c r="L135" s="551">
        <v>0</v>
      </c>
    </row>
    <row r="136" spans="1:12">
      <c r="A136" s="171" t="s">
        <v>1022</v>
      </c>
      <c r="B136" s="171" t="s">
        <v>1055</v>
      </c>
      <c r="C136" s="549" t="s">
        <v>1057</v>
      </c>
      <c r="D136" s="549" t="s">
        <v>76</v>
      </c>
      <c r="E136" s="549" t="s">
        <v>251</v>
      </c>
      <c r="F136" s="549" t="s">
        <v>1060</v>
      </c>
      <c r="G136" s="550">
        <v>0</v>
      </c>
      <c r="H136" s="523"/>
      <c r="I136" s="523"/>
      <c r="J136" s="523"/>
      <c r="K136" s="523"/>
      <c r="L136" s="551">
        <v>0</v>
      </c>
    </row>
    <row r="137" spans="1:12">
      <c r="A137" s="171" t="s">
        <v>1022</v>
      </c>
      <c r="B137" s="171" t="s">
        <v>1055</v>
      </c>
      <c r="C137" s="549" t="s">
        <v>1057</v>
      </c>
      <c r="D137" s="549" t="s">
        <v>77</v>
      </c>
      <c r="E137" s="549" t="s">
        <v>250</v>
      </c>
      <c r="F137" s="549" t="s">
        <v>835</v>
      </c>
      <c r="G137" s="550">
        <v>1430079.46</v>
      </c>
      <c r="H137" s="523"/>
      <c r="I137" s="523"/>
      <c r="J137" s="523"/>
      <c r="K137" s="523"/>
      <c r="L137" s="551">
        <v>1430079.46</v>
      </c>
    </row>
    <row r="138" spans="1:12">
      <c r="A138" s="171" t="s">
        <v>1022</v>
      </c>
      <c r="B138" s="171" t="s">
        <v>1055</v>
      </c>
      <c r="C138" s="549" t="s">
        <v>1057</v>
      </c>
      <c r="D138" s="555" t="s">
        <v>248</v>
      </c>
      <c r="E138" s="549" t="s">
        <v>249</v>
      </c>
      <c r="F138" s="549" t="s">
        <v>836</v>
      </c>
      <c r="G138" s="550">
        <v>0</v>
      </c>
      <c r="H138" s="523"/>
      <c r="I138" s="523"/>
      <c r="J138" s="523"/>
      <c r="K138" s="523"/>
      <c r="L138" s="551">
        <v>0</v>
      </c>
    </row>
    <row r="139" spans="1:12">
      <c r="A139" s="171" t="s">
        <v>1022</v>
      </c>
      <c r="B139" s="171" t="s">
        <v>1055</v>
      </c>
      <c r="C139" s="549" t="s">
        <v>1057</v>
      </c>
      <c r="D139" s="557"/>
      <c r="E139" s="549" t="s">
        <v>249</v>
      </c>
      <c r="F139" s="549" t="s">
        <v>837</v>
      </c>
      <c r="G139" s="550">
        <v>0</v>
      </c>
      <c r="H139" s="523"/>
      <c r="I139" s="523"/>
      <c r="J139" s="523"/>
      <c r="K139" s="523"/>
      <c r="L139" s="551">
        <v>0</v>
      </c>
    </row>
    <row r="140" spans="1:12">
      <c r="A140" s="169"/>
      <c r="B140" s="172" t="s">
        <v>1061</v>
      </c>
      <c r="C140" s="169"/>
      <c r="D140" s="169"/>
      <c r="E140" s="169"/>
      <c r="F140" s="169"/>
      <c r="G140" s="552">
        <v>1779969.68</v>
      </c>
      <c r="H140" s="170"/>
      <c r="I140" s="170"/>
      <c r="J140" s="170"/>
      <c r="K140" s="170"/>
      <c r="L140" s="553">
        <v>1779969.68</v>
      </c>
    </row>
    <row r="141" spans="1:12">
      <c r="A141" s="171" t="s">
        <v>1022</v>
      </c>
      <c r="B141" s="171" t="s">
        <v>1062</v>
      </c>
      <c r="C141" s="549" t="s">
        <v>1063</v>
      </c>
      <c r="D141" s="555" t="s">
        <v>256</v>
      </c>
      <c r="E141" s="549" t="s">
        <v>257</v>
      </c>
      <c r="F141" s="549" t="s">
        <v>839</v>
      </c>
      <c r="G141" s="550">
        <v>92530.22</v>
      </c>
      <c r="H141" s="523"/>
      <c r="I141" s="523"/>
      <c r="J141" s="523"/>
      <c r="K141" s="523"/>
      <c r="L141" s="551">
        <v>92530.22</v>
      </c>
    </row>
    <row r="142" spans="1:12">
      <c r="A142" s="171" t="s">
        <v>1022</v>
      </c>
      <c r="B142" s="171" t="s">
        <v>1062</v>
      </c>
      <c r="C142" s="549" t="s">
        <v>1063</v>
      </c>
      <c r="D142" s="557"/>
      <c r="E142" s="549" t="s">
        <v>257</v>
      </c>
      <c r="F142" s="549" t="s">
        <v>840</v>
      </c>
      <c r="G142" s="550">
        <v>10075.42</v>
      </c>
      <c r="H142" s="523"/>
      <c r="I142" s="523"/>
      <c r="J142" s="523"/>
      <c r="K142" s="523"/>
      <c r="L142" s="551">
        <v>10075.42</v>
      </c>
    </row>
    <row r="143" spans="1:12">
      <c r="A143" s="171" t="s">
        <v>1022</v>
      </c>
      <c r="B143" s="171" t="s">
        <v>1062</v>
      </c>
      <c r="C143" s="549" t="s">
        <v>1064</v>
      </c>
      <c r="D143" s="549" t="s">
        <v>248</v>
      </c>
      <c r="E143" s="549" t="s">
        <v>249</v>
      </c>
      <c r="F143" s="549" t="s">
        <v>842</v>
      </c>
      <c r="G143" s="550">
        <v>21626.02</v>
      </c>
      <c r="H143" s="523"/>
      <c r="I143" s="523"/>
      <c r="J143" s="523"/>
      <c r="K143" s="523"/>
      <c r="L143" s="551">
        <v>21626.02</v>
      </c>
    </row>
    <row r="144" spans="1:12">
      <c r="A144" s="171" t="s">
        <v>1022</v>
      </c>
      <c r="B144" s="171" t="s">
        <v>1062</v>
      </c>
      <c r="C144" s="549" t="s">
        <v>1065</v>
      </c>
      <c r="D144" s="555" t="s">
        <v>248</v>
      </c>
      <c r="E144" s="549" t="s">
        <v>249</v>
      </c>
      <c r="F144" s="549" t="s">
        <v>848</v>
      </c>
      <c r="G144" s="550">
        <v>18765159.489999998</v>
      </c>
      <c r="H144" s="523"/>
      <c r="I144" s="523"/>
      <c r="J144" s="523"/>
      <c r="K144" s="523"/>
      <c r="L144" s="551">
        <v>18765159.489999998</v>
      </c>
    </row>
    <row r="145" spans="1:12">
      <c r="A145" s="171" t="s">
        <v>1022</v>
      </c>
      <c r="B145" s="171" t="s">
        <v>1062</v>
      </c>
      <c r="C145" s="549" t="s">
        <v>1065</v>
      </c>
      <c r="D145" s="557"/>
      <c r="E145" s="549" t="s">
        <v>249</v>
      </c>
      <c r="F145" s="549" t="s">
        <v>849</v>
      </c>
      <c r="G145" s="550">
        <v>3421024.9</v>
      </c>
      <c r="H145" s="523"/>
      <c r="I145" s="523"/>
      <c r="J145" s="523"/>
      <c r="K145" s="523"/>
      <c r="L145" s="551">
        <v>3421024.9</v>
      </c>
    </row>
    <row r="146" spans="1:12">
      <c r="A146" s="171" t="s">
        <v>1022</v>
      </c>
      <c r="B146" s="171" t="s">
        <v>1062</v>
      </c>
      <c r="C146" s="549" t="s">
        <v>1066</v>
      </c>
      <c r="D146" s="555" t="s">
        <v>248</v>
      </c>
      <c r="E146" s="549" t="s">
        <v>249</v>
      </c>
      <c r="F146" s="549" t="s">
        <v>853</v>
      </c>
      <c r="G146" s="550">
        <v>1016984.52</v>
      </c>
      <c r="H146" s="523"/>
      <c r="I146" s="523"/>
      <c r="J146" s="523"/>
      <c r="K146" s="523"/>
      <c r="L146" s="551">
        <v>1016984.52</v>
      </c>
    </row>
    <row r="147" spans="1:12">
      <c r="A147" s="171" t="s">
        <v>1022</v>
      </c>
      <c r="B147" s="171" t="s">
        <v>1062</v>
      </c>
      <c r="C147" s="549" t="s">
        <v>1066</v>
      </c>
      <c r="D147" s="557"/>
      <c r="E147" s="549" t="s">
        <v>249</v>
      </c>
      <c r="F147" s="549" t="s">
        <v>854</v>
      </c>
      <c r="G147" s="550">
        <v>2443601.15</v>
      </c>
      <c r="H147" s="523"/>
      <c r="I147" s="523"/>
      <c r="J147" s="523"/>
      <c r="K147" s="523"/>
      <c r="L147" s="551">
        <v>2443601.15</v>
      </c>
    </row>
    <row r="148" spans="1:12">
      <c r="A148" s="171" t="s">
        <v>1022</v>
      </c>
      <c r="B148" s="171" t="s">
        <v>1062</v>
      </c>
      <c r="C148" s="549" t="s">
        <v>1067</v>
      </c>
      <c r="D148" s="549" t="s">
        <v>248</v>
      </c>
      <c r="E148" s="549" t="s">
        <v>249</v>
      </c>
      <c r="F148" s="549" t="s">
        <v>857</v>
      </c>
      <c r="G148" s="550">
        <v>183581.23</v>
      </c>
      <c r="H148" s="523"/>
      <c r="I148" s="523"/>
      <c r="J148" s="523"/>
      <c r="K148" s="523"/>
      <c r="L148" s="551">
        <v>183581.23</v>
      </c>
    </row>
    <row r="149" spans="1:12">
      <c r="A149" s="169"/>
      <c r="B149" s="172" t="s">
        <v>1068</v>
      </c>
      <c r="C149" s="169"/>
      <c r="D149" s="169"/>
      <c r="E149" s="169"/>
      <c r="F149" s="169"/>
      <c r="G149" s="552">
        <v>25954582.949999999</v>
      </c>
      <c r="H149" s="170"/>
      <c r="I149" s="170"/>
      <c r="J149" s="170"/>
      <c r="K149" s="170"/>
      <c r="L149" s="553">
        <v>25954582.949999999</v>
      </c>
    </row>
    <row r="150" spans="1:12">
      <c r="A150" s="172" t="s">
        <v>78</v>
      </c>
      <c r="B150" s="169"/>
      <c r="C150" s="169"/>
      <c r="D150" s="169"/>
      <c r="E150" s="169"/>
      <c r="F150" s="169"/>
      <c r="G150" s="552">
        <v>628491018.69000006</v>
      </c>
      <c r="H150" s="552">
        <v>15039595.359999999</v>
      </c>
      <c r="I150" s="552">
        <v>-3028982.93</v>
      </c>
      <c r="J150" s="552">
        <v>-61820.35</v>
      </c>
      <c r="K150" s="170"/>
      <c r="L150" s="553">
        <v>640439810.76999998</v>
      </c>
    </row>
    <row r="151" spans="1:12">
      <c r="L151" s="257" t="s">
        <v>41</v>
      </c>
    </row>
    <row r="152" spans="1:12">
      <c r="C152" s="554"/>
      <c r="D152" s="554"/>
      <c r="E152" s="554"/>
      <c r="F152" s="554"/>
      <c r="G152" s="554"/>
      <c r="H152" s="554"/>
      <c r="I152" s="554"/>
      <c r="J152" s="554"/>
      <c r="K152" s="554"/>
      <c r="L152" s="554"/>
    </row>
  </sheetData>
  <pageMargins left="0.7" right="0.7" top="0.75" bottom="0.75" header="0.3" footer="0.3"/>
  <pageSetup scale="47" fitToHeight="0" orientation="portrait" horizontalDpi="1200" verticalDpi="1200" r:id="rId1"/>
  <headerFooter>
    <oddFooter>&amp;R&amp;14 &amp;KFF00001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Y37"/>
  <sheetViews>
    <sheetView showGridLines="0" zoomScaleNormal="100" workbookViewId="0">
      <selection activeCell="H551" sqref="H551"/>
    </sheetView>
  </sheetViews>
  <sheetFormatPr defaultColWidth="69.85546875" defaultRowHeight="12" outlineLevelCol="1"/>
  <cols>
    <col min="1" max="1" width="7.7109375" style="32" customWidth="1"/>
    <col min="2" max="2" width="6.42578125" style="32" customWidth="1"/>
    <col min="3" max="3" width="9.7109375" style="32" customWidth="1"/>
    <col min="4" max="4" width="12.42578125" style="26" customWidth="1"/>
    <col min="5" max="5" width="7.85546875" style="27" customWidth="1"/>
    <col min="6" max="6" width="31.42578125" style="28" customWidth="1" collapsed="1"/>
    <col min="7" max="7" width="19.28515625" style="27" hidden="1" customWidth="1" outlineLevel="1"/>
    <col min="8" max="8" width="18.140625" style="27" hidden="1" customWidth="1" outlineLevel="1"/>
    <col min="9" max="9" width="3.85546875" style="29" hidden="1" customWidth="1" outlineLevel="1"/>
    <col min="10" max="10" width="14.42578125" style="29" hidden="1" customWidth="1" collapsed="1"/>
    <col min="11" max="11" width="10.5703125" style="29" hidden="1" customWidth="1"/>
    <col min="12" max="12" width="9.42578125" style="29" hidden="1" customWidth="1"/>
    <col min="13" max="13" width="14.28515625" style="30" customWidth="1"/>
    <col min="14" max="14" width="13" style="30" customWidth="1"/>
    <col min="15" max="15" width="14" style="30" customWidth="1"/>
    <col min="16" max="16" width="9.85546875" style="31" bestFit="1" customWidth="1"/>
    <col min="17" max="17" width="5.140625" style="31" customWidth="1"/>
    <col min="18" max="18" width="10.5703125" style="32" customWidth="1"/>
    <col min="19" max="19" width="10.7109375" style="32" customWidth="1"/>
    <col min="20" max="20" width="10.140625" style="31" customWidth="1"/>
    <col min="21" max="21" width="8.85546875" style="31" customWidth="1"/>
    <col min="22" max="22" width="27" style="33" customWidth="1"/>
    <col min="23" max="23" width="7.85546875" style="32" customWidth="1"/>
    <col min="24" max="24" width="12.42578125" style="32" customWidth="1"/>
    <col min="25" max="25" width="8" style="26" customWidth="1"/>
    <col min="26" max="26" width="13" style="26" customWidth="1"/>
    <col min="27" max="27" width="12.7109375" style="26" customWidth="1"/>
    <col min="28" max="35" width="16.28515625" style="26" customWidth="1"/>
    <col min="36" max="16384" width="69.85546875" style="26"/>
  </cols>
  <sheetData>
    <row r="1" spans="1:25">
      <c r="A1" s="25"/>
      <c r="B1" s="25" t="s">
        <v>301</v>
      </c>
      <c r="C1" s="25"/>
    </row>
    <row r="2" spans="1:25" s="35" customFormat="1" ht="18.75">
      <c r="A2" s="34"/>
      <c r="B2" s="34" t="s">
        <v>302</v>
      </c>
      <c r="C2" s="34"/>
      <c r="E2" s="36"/>
      <c r="F2" s="37"/>
      <c r="G2" s="36" t="s">
        <v>70</v>
      </c>
      <c r="H2" s="36"/>
      <c r="I2" s="38"/>
      <c r="J2" s="38"/>
      <c r="K2" s="38"/>
      <c r="L2" s="38"/>
      <c r="M2" s="39"/>
      <c r="N2" s="39"/>
      <c r="O2" s="39"/>
      <c r="P2" s="40"/>
      <c r="Q2" s="40"/>
      <c r="R2" s="41"/>
      <c r="S2" s="41"/>
      <c r="T2" s="40"/>
      <c r="U2" s="40"/>
      <c r="V2" s="42"/>
      <c r="W2" s="41"/>
      <c r="X2" s="41"/>
    </row>
    <row r="3" spans="1:25" ht="15">
      <c r="B3" s="32" t="s">
        <v>303</v>
      </c>
      <c r="C3" s="43" t="s">
        <v>304</v>
      </c>
      <c r="F3" s="44"/>
      <c r="H3" s="36"/>
    </row>
    <row r="4" spans="1:25" ht="12.75" thickBot="1">
      <c r="C4" s="45"/>
      <c r="D4" s="46"/>
    </row>
    <row r="5" spans="1:25" s="53" customFormat="1" ht="12" customHeight="1">
      <c r="A5" s="47" t="s">
        <v>305</v>
      </c>
      <c r="B5" s="47"/>
      <c r="C5" s="47"/>
      <c r="D5" s="47"/>
      <c r="E5" s="48"/>
      <c r="F5" s="49"/>
      <c r="G5" s="49"/>
      <c r="H5" s="50"/>
      <c r="I5" s="51"/>
      <c r="J5" s="711" t="s">
        <v>306</v>
      </c>
      <c r="K5" s="712"/>
      <c r="L5" s="713"/>
      <c r="M5" s="714" t="s">
        <v>133</v>
      </c>
      <c r="N5" s="714"/>
      <c r="O5" s="715"/>
      <c r="P5" s="716" t="s">
        <v>307</v>
      </c>
      <c r="Q5" s="717"/>
      <c r="R5" s="716" t="s">
        <v>308</v>
      </c>
      <c r="S5" s="717"/>
      <c r="T5" s="716" t="s">
        <v>309</v>
      </c>
      <c r="U5" s="717"/>
      <c r="V5" s="52"/>
      <c r="W5" s="707" t="s">
        <v>310</v>
      </c>
      <c r="X5" s="708"/>
    </row>
    <row r="6" spans="1:25" s="69" customFormat="1" ht="29.25" customHeight="1" thickBot="1">
      <c r="A6" s="54" t="s">
        <v>311</v>
      </c>
      <c r="B6" s="55" t="s">
        <v>312</v>
      </c>
      <c r="C6" s="54" t="s">
        <v>313</v>
      </c>
      <c r="D6" s="56" t="s">
        <v>314</v>
      </c>
      <c r="E6" s="57" t="s">
        <v>315</v>
      </c>
      <c r="F6" s="58" t="s">
        <v>316</v>
      </c>
      <c r="G6" s="59" t="s">
        <v>317</v>
      </c>
      <c r="H6" s="60" t="s">
        <v>318</v>
      </c>
      <c r="I6" s="61" t="s">
        <v>319</v>
      </c>
      <c r="J6" s="62" t="s">
        <v>320</v>
      </c>
      <c r="K6" s="62" t="s">
        <v>321</v>
      </c>
      <c r="L6" s="62" t="s">
        <v>322</v>
      </c>
      <c r="M6" s="63" t="s">
        <v>323</v>
      </c>
      <c r="N6" s="62" t="s">
        <v>324</v>
      </c>
      <c r="O6" s="64" t="s">
        <v>325</v>
      </c>
      <c r="P6" s="65" t="s">
        <v>326</v>
      </c>
      <c r="Q6" s="66" t="s">
        <v>327</v>
      </c>
      <c r="R6" s="67" t="s">
        <v>328</v>
      </c>
      <c r="S6" s="66" t="s">
        <v>329</v>
      </c>
      <c r="T6" s="67" t="s">
        <v>330</v>
      </c>
      <c r="U6" s="66" t="s">
        <v>331</v>
      </c>
      <c r="V6" s="68" t="s">
        <v>332</v>
      </c>
      <c r="W6" s="67" t="s">
        <v>333</v>
      </c>
      <c r="X6" s="66" t="s">
        <v>334</v>
      </c>
      <c r="Y6" s="35"/>
    </row>
    <row r="7" spans="1:25" s="87" customFormat="1">
      <c r="A7" s="70">
        <v>44603</v>
      </c>
      <c r="B7" s="71">
        <v>2</v>
      </c>
      <c r="C7" s="72" t="s">
        <v>335</v>
      </c>
      <c r="D7" s="73" t="s">
        <v>336</v>
      </c>
      <c r="E7" s="74">
        <v>27405258</v>
      </c>
      <c r="F7" s="75" t="s">
        <v>337</v>
      </c>
      <c r="G7" s="76"/>
      <c r="H7" s="77"/>
      <c r="I7" s="78"/>
      <c r="J7" s="78"/>
      <c r="K7" s="78"/>
      <c r="L7" s="78"/>
      <c r="M7" s="79">
        <v>10646737.949999999</v>
      </c>
      <c r="N7" s="79">
        <v>1353737.9499999993</v>
      </c>
      <c r="O7" s="80">
        <v>-9293000</v>
      </c>
      <c r="P7" s="81">
        <v>352</v>
      </c>
      <c r="Q7" s="82">
        <v>356</v>
      </c>
      <c r="R7" s="81">
        <v>35200301</v>
      </c>
      <c r="S7" s="82">
        <v>35600101</v>
      </c>
      <c r="T7" s="81" t="s">
        <v>338</v>
      </c>
      <c r="U7" s="82" t="s">
        <v>339</v>
      </c>
      <c r="V7" s="83" t="s">
        <v>340</v>
      </c>
      <c r="W7" s="84" t="s">
        <v>341</v>
      </c>
      <c r="X7" s="85">
        <v>44607</v>
      </c>
      <c r="Y7" s="86"/>
    </row>
    <row r="8" spans="1:25" s="87" customFormat="1">
      <c r="A8" s="70">
        <v>44603</v>
      </c>
      <c r="B8" s="71">
        <v>2</v>
      </c>
      <c r="C8" s="72" t="s">
        <v>335</v>
      </c>
      <c r="D8" s="73" t="s">
        <v>336</v>
      </c>
      <c r="E8" s="74">
        <v>27405261</v>
      </c>
      <c r="F8" s="75" t="s">
        <v>342</v>
      </c>
      <c r="G8" s="76"/>
      <c r="H8" s="77"/>
      <c r="I8" s="78"/>
      <c r="J8" s="78"/>
      <c r="K8" s="78"/>
      <c r="L8" s="78"/>
      <c r="M8" s="79">
        <v>4241024.26</v>
      </c>
      <c r="N8" s="79">
        <v>2382424.2599999998</v>
      </c>
      <c r="O8" s="80">
        <v>-1858600</v>
      </c>
      <c r="P8" s="81">
        <v>352</v>
      </c>
      <c r="Q8" s="82">
        <v>355</v>
      </c>
      <c r="R8" s="81">
        <v>35200901</v>
      </c>
      <c r="S8" s="82">
        <v>35500201</v>
      </c>
      <c r="T8" s="81" t="s">
        <v>338</v>
      </c>
      <c r="U8" s="82" t="s">
        <v>339</v>
      </c>
      <c r="V8" s="83" t="s">
        <v>340</v>
      </c>
      <c r="W8" s="84" t="s">
        <v>341</v>
      </c>
      <c r="X8" s="85">
        <v>44607</v>
      </c>
      <c r="Y8" s="86"/>
    </row>
    <row r="9" spans="1:25" s="87" customFormat="1">
      <c r="A9" s="70">
        <v>44603</v>
      </c>
      <c r="B9" s="71">
        <v>2</v>
      </c>
      <c r="C9" s="72" t="s">
        <v>335</v>
      </c>
      <c r="D9" s="73" t="s">
        <v>336</v>
      </c>
      <c r="E9" s="74">
        <v>27405243</v>
      </c>
      <c r="F9" s="75" t="s">
        <v>343</v>
      </c>
      <c r="G9" s="76"/>
      <c r="H9" s="77"/>
      <c r="I9" s="78"/>
      <c r="J9" s="78"/>
      <c r="K9" s="78"/>
      <c r="L9" s="78"/>
      <c r="M9" s="79">
        <v>25357813.300000001</v>
      </c>
      <c r="N9" s="88">
        <v>1567733.3000000007</v>
      </c>
      <c r="O9" s="80">
        <v>-23790080</v>
      </c>
      <c r="P9" s="81">
        <v>352</v>
      </c>
      <c r="Q9" s="82">
        <v>355</v>
      </c>
      <c r="R9" s="81">
        <v>35200101</v>
      </c>
      <c r="S9" s="82">
        <v>35500201</v>
      </c>
      <c r="T9" s="81" t="s">
        <v>338</v>
      </c>
      <c r="U9" s="82" t="s">
        <v>339</v>
      </c>
      <c r="V9" s="83" t="s">
        <v>340</v>
      </c>
      <c r="W9" s="84" t="s">
        <v>341</v>
      </c>
      <c r="X9" s="85">
        <v>44607</v>
      </c>
      <c r="Y9" s="86"/>
    </row>
    <row r="10" spans="1:25" s="87" customFormat="1">
      <c r="A10" s="70">
        <v>44603</v>
      </c>
      <c r="B10" s="71">
        <v>2</v>
      </c>
      <c r="C10" s="72" t="s">
        <v>335</v>
      </c>
      <c r="D10" s="73" t="s">
        <v>336</v>
      </c>
      <c r="E10" s="74">
        <v>27405297</v>
      </c>
      <c r="F10" s="75" t="s">
        <v>344</v>
      </c>
      <c r="G10" s="76"/>
      <c r="H10" s="77"/>
      <c r="I10" s="78"/>
      <c r="J10" s="78"/>
      <c r="K10" s="78"/>
      <c r="L10" s="78"/>
      <c r="M10" s="79">
        <v>1590384.08</v>
      </c>
      <c r="N10" s="79">
        <v>207984.08000000007</v>
      </c>
      <c r="O10" s="80">
        <v>-1382400</v>
      </c>
      <c r="P10" s="81">
        <v>352</v>
      </c>
      <c r="Q10" s="82">
        <v>397</v>
      </c>
      <c r="R10" s="81">
        <v>35302101</v>
      </c>
      <c r="S10" s="82">
        <v>39700101</v>
      </c>
      <c r="T10" s="81" t="s">
        <v>338</v>
      </c>
      <c r="U10" s="82" t="s">
        <v>339</v>
      </c>
      <c r="V10" s="83" t="s">
        <v>340</v>
      </c>
      <c r="W10" s="84" t="s">
        <v>341</v>
      </c>
      <c r="X10" s="85">
        <v>44607</v>
      </c>
      <c r="Y10" s="86"/>
    </row>
    <row r="11" spans="1:25" s="87" customFormat="1">
      <c r="A11" s="70">
        <v>44603</v>
      </c>
      <c r="B11" s="71">
        <v>2</v>
      </c>
      <c r="C11" s="72" t="s">
        <v>335</v>
      </c>
      <c r="D11" s="73" t="s">
        <v>336</v>
      </c>
      <c r="E11" s="74">
        <v>27405264</v>
      </c>
      <c r="F11" s="75" t="s">
        <v>345</v>
      </c>
      <c r="G11" s="76"/>
      <c r="H11" s="77"/>
      <c r="I11" s="78"/>
      <c r="J11" s="78"/>
      <c r="K11" s="78"/>
      <c r="L11" s="78"/>
      <c r="M11" s="79">
        <v>3269122.84</v>
      </c>
      <c r="N11" s="79">
        <v>2469122.84</v>
      </c>
      <c r="O11" s="80">
        <v>-800000</v>
      </c>
      <c r="P11" s="81">
        <v>352</v>
      </c>
      <c r="Q11" s="82">
        <v>356</v>
      </c>
      <c r="R11" s="81">
        <v>35201001</v>
      </c>
      <c r="S11" s="82">
        <v>35600501</v>
      </c>
      <c r="T11" s="81" t="s">
        <v>338</v>
      </c>
      <c r="U11" s="82" t="s">
        <v>339</v>
      </c>
      <c r="V11" s="83" t="s">
        <v>340</v>
      </c>
      <c r="W11" s="84" t="s">
        <v>341</v>
      </c>
      <c r="X11" s="85">
        <v>44607</v>
      </c>
      <c r="Y11" s="86"/>
    </row>
    <row r="12" spans="1:25" s="87" customFormat="1">
      <c r="A12" s="70">
        <v>44603</v>
      </c>
      <c r="B12" s="71">
        <v>2</v>
      </c>
      <c r="C12" s="72" t="s">
        <v>335</v>
      </c>
      <c r="D12" s="73" t="s">
        <v>336</v>
      </c>
      <c r="E12" s="74">
        <v>27405291</v>
      </c>
      <c r="F12" s="75" t="s">
        <v>346</v>
      </c>
      <c r="G12" s="76"/>
      <c r="H12" s="77"/>
      <c r="I12" s="78"/>
      <c r="J12" s="78"/>
      <c r="K12" s="78"/>
      <c r="L12" s="78"/>
      <c r="M12" s="88">
        <v>2783172.13</v>
      </c>
      <c r="N12" s="89">
        <v>1281235.9204023478</v>
      </c>
      <c r="O12" s="80">
        <v>-1501936.2095976521</v>
      </c>
      <c r="P12" s="81">
        <v>352</v>
      </c>
      <c r="Q12" s="82">
        <v>356</v>
      </c>
      <c r="R12" s="81">
        <v>35301701</v>
      </c>
      <c r="S12" s="82">
        <v>35600101</v>
      </c>
      <c r="T12" s="81" t="s">
        <v>338</v>
      </c>
      <c r="U12" s="82" t="s">
        <v>339</v>
      </c>
      <c r="V12" s="83" t="s">
        <v>340</v>
      </c>
      <c r="W12" s="84" t="s">
        <v>341</v>
      </c>
      <c r="X12" s="85">
        <v>44607</v>
      </c>
      <c r="Y12" s="86"/>
    </row>
    <row r="13" spans="1:25" s="87" customFormat="1">
      <c r="A13" s="70">
        <v>44603</v>
      </c>
      <c r="B13" s="71">
        <v>2</v>
      </c>
      <c r="C13" s="72" t="s">
        <v>335</v>
      </c>
      <c r="D13" s="73" t="s">
        <v>336</v>
      </c>
      <c r="E13" s="74">
        <v>27405306</v>
      </c>
      <c r="F13" s="75" t="s">
        <v>347</v>
      </c>
      <c r="G13" s="76"/>
      <c r="H13" s="77"/>
      <c r="I13" s="78"/>
      <c r="J13" s="78"/>
      <c r="K13" s="78"/>
      <c r="L13" s="78"/>
      <c r="M13" s="79">
        <v>9277240.5600000005</v>
      </c>
      <c r="N13" s="79">
        <v>5131896.6215104815</v>
      </c>
      <c r="O13" s="80">
        <v>-4145343.9384895191</v>
      </c>
      <c r="P13" s="81">
        <v>353</v>
      </c>
      <c r="Q13" s="82">
        <v>355</v>
      </c>
      <c r="R13" s="81">
        <v>35304101</v>
      </c>
      <c r="S13" s="82">
        <v>35500201</v>
      </c>
      <c r="T13" s="81" t="s">
        <v>338</v>
      </c>
      <c r="U13" s="82" t="s">
        <v>339</v>
      </c>
      <c r="V13" s="83" t="s">
        <v>340</v>
      </c>
      <c r="W13" s="84" t="s">
        <v>341</v>
      </c>
      <c r="X13" s="85">
        <v>44607</v>
      </c>
      <c r="Y13" s="86"/>
    </row>
    <row r="14" spans="1:25" s="87" customFormat="1">
      <c r="A14" s="70">
        <v>44603</v>
      </c>
      <c r="B14" s="71">
        <v>2</v>
      </c>
      <c r="C14" s="72" t="s">
        <v>335</v>
      </c>
      <c r="D14" s="73" t="s">
        <v>336</v>
      </c>
      <c r="E14" s="74">
        <v>27405291</v>
      </c>
      <c r="F14" s="75" t="s">
        <v>346</v>
      </c>
      <c r="G14" s="76"/>
      <c r="H14" s="77"/>
      <c r="I14" s="78"/>
      <c r="J14" s="78"/>
      <c r="K14" s="78"/>
      <c r="L14" s="78"/>
      <c r="M14" s="89">
        <v>1281235.9204023478</v>
      </c>
      <c r="N14" s="90">
        <v>1057812.20188865</v>
      </c>
      <c r="O14" s="80">
        <v>-223423.71851369785</v>
      </c>
      <c r="P14" s="81">
        <v>353</v>
      </c>
      <c r="Q14" s="82">
        <v>397</v>
      </c>
      <c r="R14" s="81">
        <v>35301701</v>
      </c>
      <c r="S14" s="82">
        <v>39700101</v>
      </c>
      <c r="T14" s="81" t="s">
        <v>338</v>
      </c>
      <c r="U14" s="82" t="s">
        <v>339</v>
      </c>
      <c r="V14" s="83" t="s">
        <v>340</v>
      </c>
      <c r="W14" s="84" t="s">
        <v>341</v>
      </c>
      <c r="X14" s="85">
        <v>44607</v>
      </c>
      <c r="Y14" s="86"/>
    </row>
    <row r="15" spans="1:25" s="87" customFormat="1">
      <c r="A15" s="70">
        <v>44603</v>
      </c>
      <c r="B15" s="71">
        <v>2</v>
      </c>
      <c r="C15" s="72" t="s">
        <v>335</v>
      </c>
      <c r="D15" s="73" t="s">
        <v>336</v>
      </c>
      <c r="E15" s="74">
        <v>27405291</v>
      </c>
      <c r="F15" s="75" t="s">
        <v>346</v>
      </c>
      <c r="G15" s="76"/>
      <c r="H15" s="77"/>
      <c r="I15" s="78"/>
      <c r="J15" s="78"/>
      <c r="K15" s="78"/>
      <c r="L15" s="78"/>
      <c r="M15" s="90">
        <v>1057812.20188865</v>
      </c>
      <c r="N15" s="79">
        <v>928516.0684895193</v>
      </c>
      <c r="O15" s="80">
        <v>-129296.1333991307</v>
      </c>
      <c r="P15" s="81">
        <v>353</v>
      </c>
      <c r="Q15" s="82">
        <v>356</v>
      </c>
      <c r="R15" s="91">
        <v>35301701</v>
      </c>
      <c r="S15" s="82">
        <v>35600501</v>
      </c>
      <c r="T15" s="81" t="s">
        <v>338</v>
      </c>
      <c r="U15" s="82" t="s">
        <v>339</v>
      </c>
      <c r="V15" s="83" t="s">
        <v>340</v>
      </c>
      <c r="W15" s="84" t="s">
        <v>341</v>
      </c>
      <c r="X15" s="85">
        <v>44607</v>
      </c>
      <c r="Y15" s="86"/>
    </row>
    <row r="16" spans="1:25">
      <c r="A16" s="92"/>
      <c r="B16" s="71"/>
      <c r="C16" s="72"/>
      <c r="D16" s="93"/>
      <c r="E16" s="74"/>
      <c r="F16" s="75"/>
      <c r="G16" s="94"/>
      <c r="H16" s="77"/>
      <c r="I16" s="78"/>
      <c r="J16" s="78"/>
      <c r="K16" s="78"/>
      <c r="L16" s="95"/>
      <c r="M16" s="88"/>
      <c r="N16" s="88">
        <f>Table3[[#This Row],[Current]]+Table3[[#This Row],[Adjust]]</f>
        <v>0</v>
      </c>
      <c r="O16" s="96">
        <f>Table3[[#This Row],[dr(cr) Cost Retired]]</f>
        <v>0</v>
      </c>
      <c r="P16" s="97"/>
      <c r="Q16" s="98"/>
      <c r="R16" s="91"/>
      <c r="S16" s="82"/>
      <c r="T16" s="97"/>
      <c r="U16" s="98"/>
      <c r="V16" s="99"/>
      <c r="W16" s="91"/>
      <c r="X16" s="85"/>
      <c r="Y16" s="30"/>
    </row>
    <row r="17" spans="1:25">
      <c r="A17" s="100"/>
      <c r="B17" s="101"/>
      <c r="C17" s="101"/>
      <c r="D17" s="87"/>
      <c r="E17" s="102"/>
      <c r="F17" s="103"/>
      <c r="G17" s="102"/>
      <c r="H17" s="102"/>
      <c r="I17" s="104"/>
      <c r="J17" s="104"/>
      <c r="K17" s="104"/>
      <c r="L17" s="105"/>
      <c r="M17" s="106"/>
      <c r="N17" s="106"/>
      <c r="O17" s="107"/>
      <c r="P17" s="108"/>
      <c r="Q17" s="108"/>
      <c r="R17" s="101"/>
      <c r="S17" s="101"/>
      <c r="T17" s="108"/>
      <c r="U17" s="108"/>
      <c r="V17" s="109"/>
      <c r="W17" s="101"/>
      <c r="X17" s="100"/>
      <c r="Y17" s="30"/>
    </row>
    <row r="18" spans="1:25">
      <c r="B18" s="101"/>
      <c r="C18" s="101"/>
      <c r="D18" s="87"/>
      <c r="E18" s="102"/>
      <c r="F18" s="103"/>
      <c r="G18" s="102"/>
      <c r="H18" s="102"/>
      <c r="I18" s="104"/>
      <c r="J18" s="104"/>
      <c r="K18" s="104"/>
      <c r="L18" s="105"/>
      <c r="M18" s="106"/>
      <c r="N18" s="106"/>
      <c r="O18" s="30">
        <f>SUM(O7:O17)</f>
        <v>-43124080</v>
      </c>
      <c r="P18" s="108"/>
      <c r="Q18" s="108"/>
      <c r="R18" s="101"/>
      <c r="S18" s="101"/>
      <c r="T18" s="108"/>
      <c r="U18" s="108"/>
      <c r="V18" s="109"/>
      <c r="W18" s="30"/>
      <c r="X18" s="30"/>
      <c r="Y18" s="30"/>
    </row>
    <row r="19" spans="1:25">
      <c r="K19" s="110"/>
      <c r="L19" s="105"/>
      <c r="M19" s="111"/>
      <c r="N19" s="106"/>
      <c r="O19" s="107"/>
      <c r="V19" s="31" t="s">
        <v>348</v>
      </c>
      <c r="W19" s="112"/>
      <c r="X19" s="113"/>
      <c r="Y19" s="30"/>
    </row>
    <row r="20" spans="1:25" ht="12.75">
      <c r="C20" s="32" t="s">
        <v>349</v>
      </c>
      <c r="D20" s="709" t="s">
        <v>350</v>
      </c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V20" s="31"/>
      <c r="W20" s="33"/>
      <c r="X20" s="30"/>
      <c r="Y20" s="30"/>
    </row>
    <row r="21" spans="1:25">
      <c r="C21" s="710" t="s">
        <v>351</v>
      </c>
      <c r="D21" s="710"/>
      <c r="E21" s="710"/>
      <c r="F21" s="710"/>
      <c r="G21" s="710"/>
      <c r="H21" s="710"/>
      <c r="I21" s="710"/>
      <c r="J21" s="710"/>
      <c r="K21" s="710"/>
      <c r="L21" s="710"/>
      <c r="M21" s="710"/>
      <c r="N21" s="710"/>
      <c r="O21" s="710"/>
      <c r="P21" s="710"/>
      <c r="Q21" s="710"/>
      <c r="R21" s="710"/>
      <c r="S21" s="710"/>
      <c r="T21" s="710"/>
      <c r="U21" s="710"/>
      <c r="V21" s="31" t="s">
        <v>352</v>
      </c>
      <c r="W21" s="114"/>
      <c r="X21" s="115"/>
      <c r="Y21" s="30"/>
    </row>
    <row r="22" spans="1:25">
      <c r="B22" s="116"/>
      <c r="C22" s="710"/>
      <c r="D22" s="710"/>
      <c r="E22" s="710"/>
      <c r="F22" s="710"/>
      <c r="G22" s="710"/>
      <c r="H22" s="710"/>
      <c r="I22" s="710"/>
      <c r="J22" s="710"/>
      <c r="K22" s="710"/>
      <c r="L22" s="710"/>
      <c r="M22" s="710"/>
      <c r="N22" s="710"/>
      <c r="O22" s="710"/>
      <c r="P22" s="710"/>
      <c r="Q22" s="710"/>
      <c r="R22" s="710"/>
      <c r="S22" s="710"/>
      <c r="T22" s="710"/>
      <c r="U22" s="710"/>
      <c r="V22" s="31"/>
      <c r="W22" s="27"/>
      <c r="X22" s="29"/>
      <c r="Y22" s="30"/>
    </row>
    <row r="23" spans="1:25" ht="15">
      <c r="B23" s="117"/>
      <c r="L23" s="105"/>
      <c r="M23" s="106"/>
      <c r="N23" s="106"/>
      <c r="V23" s="28"/>
      <c r="W23" s="27"/>
      <c r="X23" s="29"/>
      <c r="Y23" s="30"/>
    </row>
    <row r="24" spans="1:25">
      <c r="F24" s="28" t="s">
        <v>70</v>
      </c>
      <c r="L24" s="105"/>
      <c r="M24" s="118" t="s">
        <v>353</v>
      </c>
      <c r="N24" s="119" t="s">
        <v>354</v>
      </c>
      <c r="P24" s="119" t="s">
        <v>355</v>
      </c>
      <c r="V24" s="28"/>
      <c r="W24" s="27"/>
      <c r="X24" s="29"/>
      <c r="Y24" s="30"/>
    </row>
    <row r="25" spans="1:25" ht="12.75">
      <c r="L25" s="30"/>
      <c r="M25" s="120" t="s">
        <v>356</v>
      </c>
      <c r="N25" s="120" t="s">
        <v>357</v>
      </c>
      <c r="O25" s="121" t="s">
        <v>358</v>
      </c>
      <c r="P25" s="121" t="s">
        <v>359</v>
      </c>
      <c r="V25" s="122"/>
      <c r="W25" s="123"/>
      <c r="X25" s="29"/>
      <c r="Y25" s="30"/>
    </row>
    <row r="26" spans="1:25">
      <c r="F26" s="124"/>
      <c r="M26" s="125">
        <v>352</v>
      </c>
      <c r="N26" s="126">
        <f>SUM(O7:O12)</f>
        <v>-38626016.209597655</v>
      </c>
      <c r="O26" s="125">
        <v>356</v>
      </c>
      <c r="P26" s="127">
        <f>-(O7+O11+O12+O15)</f>
        <v>11724232.342996784</v>
      </c>
      <c r="Y26" s="30"/>
    </row>
    <row r="27" spans="1:25">
      <c r="D27" s="30"/>
      <c r="M27" s="125">
        <v>353</v>
      </c>
      <c r="N27" s="126">
        <f>SUM(O13:O15)</f>
        <v>-4498063.7904023472</v>
      </c>
      <c r="O27" s="125">
        <v>355</v>
      </c>
      <c r="P27" s="127">
        <f>-(O8+O9+O13)</f>
        <v>29794023.938489519</v>
      </c>
      <c r="Y27" s="30"/>
    </row>
    <row r="28" spans="1:25" ht="12.75" thickBot="1">
      <c r="M28" s="125"/>
      <c r="O28" s="125">
        <v>397</v>
      </c>
      <c r="P28" s="127">
        <f>-(O10+O14)</f>
        <v>1605823.7185136979</v>
      </c>
      <c r="Y28" s="30"/>
    </row>
    <row r="29" spans="1:25" ht="12.75" thickBot="1">
      <c r="M29" s="128" t="s">
        <v>360</v>
      </c>
      <c r="N29" s="129">
        <f>SUM(N26:N28)</f>
        <v>-43124080</v>
      </c>
      <c r="O29" s="128" t="s">
        <v>361</v>
      </c>
      <c r="P29" s="129">
        <f>SUM(P26:P28)</f>
        <v>43124080</v>
      </c>
      <c r="Y29" s="30"/>
    </row>
    <row r="30" spans="1:25">
      <c r="F30" s="28" t="s">
        <v>70</v>
      </c>
      <c r="Y30" s="30"/>
    </row>
    <row r="31" spans="1:25">
      <c r="F31" s="28" t="s">
        <v>362</v>
      </c>
      <c r="Y31" s="30"/>
    </row>
    <row r="32" spans="1:25">
      <c r="Y32" s="30"/>
    </row>
    <row r="33" spans="7:25">
      <c r="Y33" s="30"/>
    </row>
    <row r="34" spans="7:25">
      <c r="G34" s="130"/>
      <c r="Y34" s="30"/>
    </row>
    <row r="35" spans="7:25">
      <c r="G35" s="130"/>
      <c r="Y35" s="30"/>
    </row>
    <row r="36" spans="7:25">
      <c r="Y36" s="30"/>
    </row>
    <row r="37" spans="7:25">
      <c r="G37" s="131"/>
    </row>
  </sheetData>
  <autoFilter ref="A6" xr:uid="{00000000-0009-0000-0000-000008000000}"/>
  <mergeCells count="8">
    <mergeCell ref="W5:X5"/>
    <mergeCell ref="D20:R20"/>
    <mergeCell ref="C21:U22"/>
    <mergeCell ref="J5:L5"/>
    <mergeCell ref="M5:O5"/>
    <mergeCell ref="P5:Q5"/>
    <mergeCell ref="R5:S5"/>
    <mergeCell ref="T5:U5"/>
  </mergeCells>
  <hyperlinks>
    <hyperlink ref="D20:R20" r:id="rId1" location="2. Transfer OSOTD Assets to OSOLN.pdf" display="..\..\..\..\..\Close\Fixed Asset Close\2022\Manual Entries\02-FEB\#2. Transfer OSOTD Assets to OSOLN.pdf" xr:uid="{00000000-0004-0000-0800-000000000000}"/>
  </hyperlinks>
  <pageMargins left="0.25" right="0.25" top="0.75" bottom="0.75" header="0.3" footer="0.3"/>
  <pageSetup scale="61" fitToHeight="0" orientation="landscape" r:id="rId2"/>
  <headerFooter>
    <oddFooter>&amp;L&amp;Z&amp;F&amp;R&amp;"-,Bold"&amp;14 &amp;KFF00009</oddFooter>
  </headerFooter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N47"/>
  <sheetViews>
    <sheetView topLeftCell="A23" zoomScaleNormal="100" workbookViewId="0">
      <selection activeCell="C56" sqref="C56"/>
    </sheetView>
  </sheetViews>
  <sheetFormatPr defaultRowHeight="15"/>
  <cols>
    <col min="1" max="1" width="7.7109375" customWidth="1"/>
    <col min="2" max="2" width="18.85546875" customWidth="1"/>
    <col min="3" max="3" width="34" customWidth="1"/>
    <col min="4" max="4" width="5.42578125" customWidth="1"/>
    <col min="5" max="5" width="20.140625" customWidth="1"/>
    <col min="6" max="6" width="6.7109375" customWidth="1"/>
    <col min="7" max="7" width="9.140625" customWidth="1"/>
    <col min="8" max="8" width="15.140625" customWidth="1"/>
    <col min="9" max="9" width="12" customWidth="1"/>
    <col min="10" max="10" width="7.5703125" customWidth="1"/>
    <col min="11" max="11" width="9.42578125" customWidth="1"/>
    <col min="12" max="12" width="7.7109375" customWidth="1"/>
    <col min="13" max="13" width="9.5703125" customWidth="1"/>
    <col min="14" max="14" width="12.140625" customWidth="1"/>
    <col min="15" max="15" width="0.7109375" customWidth="1"/>
  </cols>
  <sheetData>
    <row r="1" spans="1:14" ht="15" customHeight="1">
      <c r="A1" s="354" t="s">
        <v>234</v>
      </c>
      <c r="B1" s="354"/>
      <c r="C1" s="354"/>
      <c r="D1" s="354"/>
      <c r="E1" s="354"/>
      <c r="F1" s="354"/>
      <c r="G1" s="354"/>
    </row>
    <row r="2" spans="1:14" ht="15" customHeight="1">
      <c r="A2" s="355" t="s">
        <v>1225</v>
      </c>
      <c r="B2" s="355"/>
      <c r="C2" s="355"/>
      <c r="D2" s="355"/>
      <c r="E2" s="355"/>
      <c r="F2" s="355"/>
      <c r="G2" s="355"/>
    </row>
    <row r="3" spans="1:14">
      <c r="A3" s="284" t="s">
        <v>235</v>
      </c>
    </row>
    <row r="4" spans="1:14">
      <c r="A4" s="284"/>
      <c r="B4" s="285" t="s">
        <v>1226</v>
      </c>
    </row>
    <row r="5" spans="1:14">
      <c r="A5" s="353" t="s">
        <v>237</v>
      </c>
      <c r="B5" s="285" t="s">
        <v>1227</v>
      </c>
    </row>
    <row r="6" spans="1:14">
      <c r="A6" s="353" t="s">
        <v>237</v>
      </c>
      <c r="B6" s="285" t="s">
        <v>1228</v>
      </c>
    </row>
    <row r="7" spans="1:14">
      <c r="A7" s="267" t="s">
        <v>235</v>
      </c>
    </row>
    <row r="8" spans="1:14" ht="33.75">
      <c r="A8" s="268" t="s">
        <v>238</v>
      </c>
      <c r="B8" s="268" t="s">
        <v>240</v>
      </c>
      <c r="C8" s="268" t="s">
        <v>241</v>
      </c>
      <c r="D8" s="268" t="s">
        <v>100</v>
      </c>
      <c r="E8" s="268" t="s">
        <v>746</v>
      </c>
      <c r="F8" s="268" t="s">
        <v>74</v>
      </c>
      <c r="G8" s="268" t="s">
        <v>242</v>
      </c>
      <c r="H8" s="268" t="s">
        <v>243</v>
      </c>
      <c r="I8" s="268" t="s">
        <v>1092</v>
      </c>
      <c r="J8" s="268" t="s">
        <v>244</v>
      </c>
      <c r="K8" s="268" t="s">
        <v>245</v>
      </c>
      <c r="L8" s="268" t="s">
        <v>246</v>
      </c>
      <c r="M8" s="268" t="s">
        <v>247</v>
      </c>
      <c r="N8" s="269" t="s">
        <v>1021</v>
      </c>
    </row>
    <row r="9" spans="1:14" ht="22.5">
      <c r="A9" s="270" t="s">
        <v>1022</v>
      </c>
      <c r="B9" s="270" t="s">
        <v>1023</v>
      </c>
      <c r="C9" s="270" t="s">
        <v>1026</v>
      </c>
      <c r="D9" s="270" t="s">
        <v>1093</v>
      </c>
      <c r="E9" s="270" t="s">
        <v>1229</v>
      </c>
      <c r="F9" s="270" t="s">
        <v>248</v>
      </c>
      <c r="G9" s="270" t="s">
        <v>249</v>
      </c>
      <c r="H9" s="270" t="s">
        <v>1103</v>
      </c>
      <c r="I9" s="271">
        <v>11988346.449999999</v>
      </c>
      <c r="J9" s="272"/>
      <c r="K9" s="272"/>
      <c r="L9" s="272"/>
      <c r="M9" s="272"/>
      <c r="N9" s="273">
        <v>11988346.449999999</v>
      </c>
    </row>
    <row r="10" spans="1:14">
      <c r="A10" s="270" t="s">
        <v>1022</v>
      </c>
      <c r="B10" s="270" t="s">
        <v>1023</v>
      </c>
      <c r="C10" s="274" t="s">
        <v>1104</v>
      </c>
      <c r="D10" s="275"/>
      <c r="E10" s="275"/>
      <c r="F10" s="275"/>
      <c r="G10" s="275"/>
      <c r="H10" s="275"/>
      <c r="I10" s="276">
        <v>11988346.449999999</v>
      </c>
      <c r="J10" s="277"/>
      <c r="K10" s="277"/>
      <c r="L10" s="277"/>
      <c r="M10" s="277"/>
      <c r="N10" s="278">
        <v>11988346.449999999</v>
      </c>
    </row>
    <row r="11" spans="1:14" ht="22.5">
      <c r="A11" s="270" t="s">
        <v>1022</v>
      </c>
      <c r="B11" s="270" t="s">
        <v>1023</v>
      </c>
      <c r="C11" s="270" t="s">
        <v>1027</v>
      </c>
      <c r="D11" s="270" t="s">
        <v>1093</v>
      </c>
      <c r="E11" s="270" t="s">
        <v>1229</v>
      </c>
      <c r="F11" s="270" t="s">
        <v>248</v>
      </c>
      <c r="G11" s="270" t="s">
        <v>249</v>
      </c>
      <c r="H11" s="270" t="s">
        <v>1105</v>
      </c>
      <c r="I11" s="271">
        <v>203438.15</v>
      </c>
      <c r="J11" s="272"/>
      <c r="K11" s="272"/>
      <c r="L11" s="272"/>
      <c r="M11" s="272"/>
      <c r="N11" s="273">
        <v>203438.15</v>
      </c>
    </row>
    <row r="12" spans="1:14">
      <c r="A12" s="270" t="s">
        <v>1022</v>
      </c>
      <c r="B12" s="270" t="s">
        <v>1023</v>
      </c>
      <c r="C12" s="274" t="s">
        <v>1106</v>
      </c>
      <c r="D12" s="275"/>
      <c r="E12" s="275"/>
      <c r="F12" s="275"/>
      <c r="G12" s="275"/>
      <c r="H12" s="275"/>
      <c r="I12" s="276">
        <v>203438.15</v>
      </c>
      <c r="J12" s="277"/>
      <c r="K12" s="277"/>
      <c r="L12" s="277"/>
      <c r="M12" s="277"/>
      <c r="N12" s="278">
        <v>203438.15</v>
      </c>
    </row>
    <row r="13" spans="1:14" ht="22.5">
      <c r="A13" s="270" t="s">
        <v>1022</v>
      </c>
      <c r="B13" s="270" t="s">
        <v>1023</v>
      </c>
      <c r="C13" s="270" t="s">
        <v>1028</v>
      </c>
      <c r="D13" s="270" t="s">
        <v>1093</v>
      </c>
      <c r="E13" s="270" t="s">
        <v>1229</v>
      </c>
      <c r="F13" s="270" t="s">
        <v>248</v>
      </c>
      <c r="G13" s="270" t="s">
        <v>249</v>
      </c>
      <c r="H13" s="270" t="s">
        <v>1107</v>
      </c>
      <c r="I13" s="271">
        <v>266835.49</v>
      </c>
      <c r="J13" s="272"/>
      <c r="K13" s="272"/>
      <c r="L13" s="272"/>
      <c r="M13" s="272"/>
      <c r="N13" s="273">
        <v>266835.49</v>
      </c>
    </row>
    <row r="14" spans="1:14">
      <c r="A14" s="270" t="s">
        <v>1022</v>
      </c>
      <c r="B14" s="270" t="s">
        <v>1023</v>
      </c>
      <c r="C14" s="274" t="s">
        <v>1108</v>
      </c>
      <c r="D14" s="275"/>
      <c r="E14" s="275"/>
      <c r="F14" s="275"/>
      <c r="G14" s="275"/>
      <c r="H14" s="275"/>
      <c r="I14" s="276">
        <v>266835.49</v>
      </c>
      <c r="J14" s="277"/>
      <c r="K14" s="277"/>
      <c r="L14" s="277"/>
      <c r="M14" s="277"/>
      <c r="N14" s="278">
        <v>266835.49</v>
      </c>
    </row>
    <row r="15" spans="1:14" ht="22.5">
      <c r="A15" s="270" t="s">
        <v>1022</v>
      </c>
      <c r="B15" s="270" t="s">
        <v>1023</v>
      </c>
      <c r="C15" s="270" t="s">
        <v>1029</v>
      </c>
      <c r="D15" s="270" t="s">
        <v>1093</v>
      </c>
      <c r="E15" s="270" t="s">
        <v>1229</v>
      </c>
      <c r="F15" s="270" t="s">
        <v>248</v>
      </c>
      <c r="G15" s="270" t="s">
        <v>249</v>
      </c>
      <c r="H15" s="270" t="s">
        <v>1109</v>
      </c>
      <c r="I15" s="271">
        <v>3646695.14</v>
      </c>
      <c r="J15" s="272"/>
      <c r="K15" s="272"/>
      <c r="L15" s="272"/>
      <c r="M15" s="272"/>
      <c r="N15" s="273">
        <v>3646695.14</v>
      </c>
    </row>
    <row r="16" spans="1:14">
      <c r="A16" s="270" t="s">
        <v>1022</v>
      </c>
      <c r="B16" s="270" t="s">
        <v>1023</v>
      </c>
      <c r="C16" s="274" t="s">
        <v>1110</v>
      </c>
      <c r="D16" s="275"/>
      <c r="E16" s="275"/>
      <c r="F16" s="275"/>
      <c r="G16" s="275"/>
      <c r="H16" s="275"/>
      <c r="I16" s="276">
        <v>3646695.14</v>
      </c>
      <c r="J16" s="277"/>
      <c r="K16" s="277"/>
      <c r="L16" s="277"/>
      <c r="M16" s="277"/>
      <c r="N16" s="278">
        <v>3646695.14</v>
      </c>
    </row>
    <row r="17" spans="1:14" ht="22.5">
      <c r="A17" s="270" t="s">
        <v>1022</v>
      </c>
      <c r="B17" s="270" t="s">
        <v>1023</v>
      </c>
      <c r="C17" s="270" t="s">
        <v>1030</v>
      </c>
      <c r="D17" s="270" t="s">
        <v>1093</v>
      </c>
      <c r="E17" s="270" t="s">
        <v>1229</v>
      </c>
      <c r="F17" s="270" t="s">
        <v>248</v>
      </c>
      <c r="G17" s="270" t="s">
        <v>249</v>
      </c>
      <c r="H17" s="270" t="s">
        <v>1111</v>
      </c>
      <c r="I17" s="271">
        <v>846442.94</v>
      </c>
      <c r="J17" s="272"/>
      <c r="K17" s="272"/>
      <c r="L17" s="272"/>
      <c r="M17" s="272"/>
      <c r="N17" s="273">
        <v>846442.94</v>
      </c>
    </row>
    <row r="18" spans="1:14">
      <c r="A18" s="270" t="s">
        <v>1022</v>
      </c>
      <c r="B18" s="270" t="s">
        <v>1023</v>
      </c>
      <c r="C18" s="274" t="s">
        <v>1112</v>
      </c>
      <c r="D18" s="275"/>
      <c r="E18" s="275"/>
      <c r="F18" s="275"/>
      <c r="G18" s="275"/>
      <c r="H18" s="275"/>
      <c r="I18" s="276">
        <v>846442.94</v>
      </c>
      <c r="J18" s="277"/>
      <c r="K18" s="277"/>
      <c r="L18" s="277"/>
      <c r="M18" s="277"/>
      <c r="N18" s="278">
        <v>846442.94</v>
      </c>
    </row>
    <row r="19" spans="1:14" ht="22.5">
      <c r="A19" s="270" t="s">
        <v>1022</v>
      </c>
      <c r="B19" s="270" t="s">
        <v>1023</v>
      </c>
      <c r="C19" s="270" t="s">
        <v>1031</v>
      </c>
      <c r="D19" s="270" t="s">
        <v>1093</v>
      </c>
      <c r="E19" s="270" t="s">
        <v>1229</v>
      </c>
      <c r="F19" s="270" t="s">
        <v>248</v>
      </c>
      <c r="G19" s="270" t="s">
        <v>249</v>
      </c>
      <c r="H19" s="270" t="s">
        <v>1113</v>
      </c>
      <c r="I19" s="271">
        <v>6102.36</v>
      </c>
      <c r="J19" s="272"/>
      <c r="K19" s="272"/>
      <c r="L19" s="272"/>
      <c r="M19" s="272"/>
      <c r="N19" s="273">
        <v>6102.36</v>
      </c>
    </row>
    <row r="20" spans="1:14">
      <c r="A20" s="270" t="s">
        <v>1022</v>
      </c>
      <c r="B20" s="270" t="s">
        <v>1023</v>
      </c>
      <c r="C20" s="274" t="s">
        <v>1114</v>
      </c>
      <c r="D20" s="275"/>
      <c r="E20" s="275"/>
      <c r="F20" s="275"/>
      <c r="G20" s="275"/>
      <c r="H20" s="275"/>
      <c r="I20" s="276">
        <v>6102.36</v>
      </c>
      <c r="J20" s="277"/>
      <c r="K20" s="277"/>
      <c r="L20" s="277"/>
      <c r="M20" s="277"/>
      <c r="N20" s="278">
        <v>6102.36</v>
      </c>
    </row>
    <row r="21" spans="1:14" ht="22.5">
      <c r="A21" s="270" t="s">
        <v>1022</v>
      </c>
      <c r="B21" s="270" t="s">
        <v>1023</v>
      </c>
      <c r="C21" s="270" t="s">
        <v>1032</v>
      </c>
      <c r="D21" s="270" t="s">
        <v>1093</v>
      </c>
      <c r="E21" s="270" t="s">
        <v>1229</v>
      </c>
      <c r="F21" s="270" t="s">
        <v>248</v>
      </c>
      <c r="G21" s="270" t="s">
        <v>249</v>
      </c>
      <c r="H21" s="270" t="s">
        <v>1115</v>
      </c>
      <c r="I21" s="271">
        <v>-109825.33</v>
      </c>
      <c r="J21" s="272"/>
      <c r="K21" s="272"/>
      <c r="L21" s="272"/>
      <c r="M21" s="272"/>
      <c r="N21" s="273">
        <v>-109825.33</v>
      </c>
    </row>
    <row r="22" spans="1:14">
      <c r="A22" s="270" t="s">
        <v>1022</v>
      </c>
      <c r="B22" s="270" t="s">
        <v>1023</v>
      </c>
      <c r="C22" s="274" t="s">
        <v>1116</v>
      </c>
      <c r="D22" s="275"/>
      <c r="E22" s="275"/>
      <c r="F22" s="275"/>
      <c r="G22" s="275"/>
      <c r="H22" s="275"/>
      <c r="I22" s="276">
        <v>-109825.33</v>
      </c>
      <c r="J22" s="277"/>
      <c r="K22" s="277"/>
      <c r="L22" s="277"/>
      <c r="M22" s="277"/>
      <c r="N22" s="278">
        <v>-109825.33</v>
      </c>
    </row>
    <row r="23" spans="1:14" ht="22.5">
      <c r="A23" s="270" t="s">
        <v>1022</v>
      </c>
      <c r="B23" s="270" t="s">
        <v>1023</v>
      </c>
      <c r="C23" s="270" t="s">
        <v>1034</v>
      </c>
      <c r="D23" s="270" t="s">
        <v>1093</v>
      </c>
      <c r="E23" s="270" t="s">
        <v>1229</v>
      </c>
      <c r="F23" s="270" t="s">
        <v>248</v>
      </c>
      <c r="G23" s="270" t="s">
        <v>249</v>
      </c>
      <c r="H23" s="270" t="s">
        <v>1119</v>
      </c>
      <c r="I23" s="271">
        <v>272367</v>
      </c>
      <c r="J23" s="272"/>
      <c r="K23" s="272"/>
      <c r="L23" s="272"/>
      <c r="M23" s="272"/>
      <c r="N23" s="273">
        <v>272367</v>
      </c>
    </row>
    <row r="24" spans="1:14">
      <c r="A24" s="270" t="s">
        <v>1022</v>
      </c>
      <c r="B24" s="270" t="s">
        <v>1023</v>
      </c>
      <c r="C24" s="274" t="s">
        <v>1120</v>
      </c>
      <c r="D24" s="275"/>
      <c r="E24" s="275"/>
      <c r="F24" s="275"/>
      <c r="G24" s="275"/>
      <c r="H24" s="275"/>
      <c r="I24" s="276">
        <v>272367</v>
      </c>
      <c r="J24" s="277"/>
      <c r="K24" s="277"/>
      <c r="L24" s="277"/>
      <c r="M24" s="277"/>
      <c r="N24" s="278">
        <v>272367</v>
      </c>
    </row>
    <row r="25" spans="1:14" ht="22.5">
      <c r="A25" s="270" t="s">
        <v>1022</v>
      </c>
      <c r="B25" s="270" t="s">
        <v>1023</v>
      </c>
      <c r="C25" s="270" t="s">
        <v>1035</v>
      </c>
      <c r="D25" s="270" t="s">
        <v>1093</v>
      </c>
      <c r="E25" s="270" t="s">
        <v>1229</v>
      </c>
      <c r="F25" s="270" t="s">
        <v>248</v>
      </c>
      <c r="G25" s="270" t="s">
        <v>249</v>
      </c>
      <c r="H25" s="270" t="s">
        <v>1121</v>
      </c>
      <c r="I25" s="271">
        <v>203195.56</v>
      </c>
      <c r="J25" s="272"/>
      <c r="K25" s="272"/>
      <c r="L25" s="272"/>
      <c r="M25" s="272"/>
      <c r="N25" s="273">
        <v>203195.56</v>
      </c>
    </row>
    <row r="26" spans="1:14">
      <c r="A26" s="270" t="s">
        <v>1022</v>
      </c>
      <c r="B26" s="270" t="s">
        <v>1023</v>
      </c>
      <c r="C26" s="274" t="s">
        <v>1122</v>
      </c>
      <c r="D26" s="275"/>
      <c r="E26" s="275"/>
      <c r="F26" s="275"/>
      <c r="G26" s="275"/>
      <c r="H26" s="275"/>
      <c r="I26" s="276">
        <v>203195.56</v>
      </c>
      <c r="J26" s="277"/>
      <c r="K26" s="277"/>
      <c r="L26" s="277"/>
      <c r="M26" s="277"/>
      <c r="N26" s="278">
        <v>203195.56</v>
      </c>
    </row>
    <row r="27" spans="1:14" ht="22.5">
      <c r="A27" s="270" t="s">
        <v>1022</v>
      </c>
      <c r="B27" s="274" t="s">
        <v>1036</v>
      </c>
      <c r="C27" s="275"/>
      <c r="D27" s="275"/>
      <c r="E27" s="275"/>
      <c r="F27" s="275"/>
      <c r="G27" s="275"/>
      <c r="H27" s="275"/>
      <c r="I27" s="276">
        <v>17323597.760000002</v>
      </c>
      <c r="J27" s="277"/>
      <c r="K27" s="277"/>
      <c r="L27" s="277"/>
      <c r="M27" s="277"/>
      <c r="N27" s="278">
        <v>17323597.760000002</v>
      </c>
    </row>
    <row r="28" spans="1:14" ht="22.5">
      <c r="A28" s="270" t="s">
        <v>1022</v>
      </c>
      <c r="B28" s="270" t="s">
        <v>1037</v>
      </c>
      <c r="C28" s="270" t="s">
        <v>1038</v>
      </c>
      <c r="D28" s="270" t="s">
        <v>1093</v>
      </c>
      <c r="E28" s="270" t="s">
        <v>1229</v>
      </c>
      <c r="F28" s="270" t="s">
        <v>252</v>
      </c>
      <c r="G28" s="270" t="s">
        <v>253</v>
      </c>
      <c r="H28" s="270" t="s">
        <v>1123</v>
      </c>
      <c r="I28" s="271">
        <v>9683.36</v>
      </c>
      <c r="J28" s="272"/>
      <c r="K28" s="272"/>
      <c r="L28" s="272"/>
      <c r="M28" s="272"/>
      <c r="N28" s="273">
        <v>9683.36</v>
      </c>
    </row>
    <row r="29" spans="1:14" ht="22.5">
      <c r="A29" s="270" t="s">
        <v>1022</v>
      </c>
      <c r="B29" s="270" t="s">
        <v>1037</v>
      </c>
      <c r="C29" s="270" t="s">
        <v>1038</v>
      </c>
      <c r="D29" s="270" t="s">
        <v>1093</v>
      </c>
      <c r="E29" s="270" t="s">
        <v>1229</v>
      </c>
      <c r="F29" s="270" t="s">
        <v>256</v>
      </c>
      <c r="G29" s="270" t="s">
        <v>257</v>
      </c>
      <c r="H29" s="270" t="s">
        <v>1124</v>
      </c>
      <c r="I29" s="271">
        <v>123554.86</v>
      </c>
      <c r="J29" s="272"/>
      <c r="K29" s="272"/>
      <c r="L29" s="272"/>
      <c r="M29" s="272"/>
      <c r="N29" s="273">
        <v>123554.86</v>
      </c>
    </row>
    <row r="30" spans="1:14">
      <c r="A30" s="270" t="s">
        <v>1022</v>
      </c>
      <c r="B30" s="270" t="s">
        <v>1037</v>
      </c>
      <c r="C30" s="274" t="s">
        <v>1125</v>
      </c>
      <c r="D30" s="275"/>
      <c r="E30" s="275"/>
      <c r="F30" s="275"/>
      <c r="G30" s="275"/>
      <c r="H30" s="275"/>
      <c r="I30" s="276">
        <v>133238.22</v>
      </c>
      <c r="J30" s="277"/>
      <c r="K30" s="277"/>
      <c r="L30" s="277"/>
      <c r="M30" s="277"/>
      <c r="N30" s="278">
        <v>133238.22</v>
      </c>
    </row>
    <row r="31" spans="1:14" ht="22.5">
      <c r="A31" s="270" t="s">
        <v>1022</v>
      </c>
      <c r="B31" s="270" t="s">
        <v>1037</v>
      </c>
      <c r="C31" s="270" t="s">
        <v>1039</v>
      </c>
      <c r="D31" s="270" t="s">
        <v>1093</v>
      </c>
      <c r="E31" s="270" t="s">
        <v>1229</v>
      </c>
      <c r="F31" s="270" t="s">
        <v>248</v>
      </c>
      <c r="G31" s="270" t="s">
        <v>249</v>
      </c>
      <c r="H31" s="270" t="s">
        <v>1126</v>
      </c>
      <c r="I31" s="271">
        <v>173463.58</v>
      </c>
      <c r="J31" s="272"/>
      <c r="K31" s="272"/>
      <c r="L31" s="272"/>
      <c r="M31" s="272"/>
      <c r="N31" s="273">
        <v>173463.58</v>
      </c>
    </row>
    <row r="32" spans="1:14">
      <c r="A32" s="270" t="s">
        <v>1022</v>
      </c>
      <c r="B32" s="270" t="s">
        <v>1037</v>
      </c>
      <c r="C32" s="274" t="s">
        <v>1127</v>
      </c>
      <c r="D32" s="275"/>
      <c r="E32" s="275"/>
      <c r="F32" s="275"/>
      <c r="G32" s="275"/>
      <c r="H32" s="275"/>
      <c r="I32" s="276">
        <v>173463.58</v>
      </c>
      <c r="J32" s="277"/>
      <c r="K32" s="277"/>
      <c r="L32" s="277"/>
      <c r="M32" s="277"/>
      <c r="N32" s="278">
        <v>173463.58</v>
      </c>
    </row>
    <row r="33" spans="1:14" ht="22.5">
      <c r="A33" s="270" t="s">
        <v>1022</v>
      </c>
      <c r="B33" s="270" t="s">
        <v>1037</v>
      </c>
      <c r="C33" s="270" t="s">
        <v>1042</v>
      </c>
      <c r="D33" s="270" t="s">
        <v>1093</v>
      </c>
      <c r="E33" s="270" t="s">
        <v>1229</v>
      </c>
      <c r="F33" s="270" t="s">
        <v>248</v>
      </c>
      <c r="G33" s="270" t="s">
        <v>249</v>
      </c>
      <c r="H33" s="270" t="s">
        <v>1130</v>
      </c>
      <c r="I33" s="271">
        <v>26148.25</v>
      </c>
      <c r="J33" s="272"/>
      <c r="K33" s="272"/>
      <c r="L33" s="272"/>
      <c r="M33" s="272"/>
      <c r="N33" s="273">
        <v>26148.25</v>
      </c>
    </row>
    <row r="34" spans="1:14">
      <c r="A34" s="270" t="s">
        <v>1022</v>
      </c>
      <c r="B34" s="270" t="s">
        <v>1037</v>
      </c>
      <c r="C34" s="274" t="s">
        <v>1131</v>
      </c>
      <c r="D34" s="275"/>
      <c r="E34" s="275"/>
      <c r="F34" s="275"/>
      <c r="G34" s="275"/>
      <c r="H34" s="275"/>
      <c r="I34" s="276">
        <v>26148.25</v>
      </c>
      <c r="J34" s="277"/>
      <c r="K34" s="277"/>
      <c r="L34" s="277"/>
      <c r="M34" s="277"/>
      <c r="N34" s="278">
        <v>26148.25</v>
      </c>
    </row>
    <row r="35" spans="1:14" ht="22.5">
      <c r="A35" s="270" t="s">
        <v>1022</v>
      </c>
      <c r="B35" s="270" t="s">
        <v>1037</v>
      </c>
      <c r="C35" s="270" t="s">
        <v>1043</v>
      </c>
      <c r="D35" s="270" t="s">
        <v>1093</v>
      </c>
      <c r="E35" s="270" t="s">
        <v>1229</v>
      </c>
      <c r="F35" s="270" t="s">
        <v>248</v>
      </c>
      <c r="G35" s="270" t="s">
        <v>249</v>
      </c>
      <c r="H35" s="270" t="s">
        <v>1132</v>
      </c>
      <c r="I35" s="271">
        <v>434479.27</v>
      </c>
      <c r="J35" s="272"/>
      <c r="K35" s="272"/>
      <c r="L35" s="272"/>
      <c r="M35" s="272"/>
      <c r="N35" s="273">
        <v>434479.27</v>
      </c>
    </row>
    <row r="36" spans="1:14">
      <c r="A36" s="270" t="s">
        <v>1022</v>
      </c>
      <c r="B36" s="270" t="s">
        <v>1037</v>
      </c>
      <c r="C36" s="274" t="s">
        <v>1133</v>
      </c>
      <c r="D36" s="275"/>
      <c r="E36" s="275"/>
      <c r="F36" s="275"/>
      <c r="G36" s="275"/>
      <c r="H36" s="275"/>
      <c r="I36" s="276">
        <v>434479.27</v>
      </c>
      <c r="J36" s="277"/>
      <c r="K36" s="277"/>
      <c r="L36" s="277"/>
      <c r="M36" s="277"/>
      <c r="N36" s="278">
        <v>434479.27</v>
      </c>
    </row>
    <row r="37" spans="1:14" ht="22.5">
      <c r="A37" s="270" t="s">
        <v>1022</v>
      </c>
      <c r="B37" s="270" t="s">
        <v>1037</v>
      </c>
      <c r="C37" s="270" t="s">
        <v>1045</v>
      </c>
      <c r="D37" s="270" t="s">
        <v>1093</v>
      </c>
      <c r="E37" s="270" t="s">
        <v>1229</v>
      </c>
      <c r="F37" s="270" t="s">
        <v>248</v>
      </c>
      <c r="G37" s="270" t="s">
        <v>249</v>
      </c>
      <c r="H37" s="270" t="s">
        <v>1134</v>
      </c>
      <c r="I37" s="271">
        <v>-12899.8</v>
      </c>
      <c r="J37" s="272"/>
      <c r="K37" s="272"/>
      <c r="L37" s="272"/>
      <c r="M37" s="272"/>
      <c r="N37" s="273">
        <v>-12899.8</v>
      </c>
    </row>
    <row r="38" spans="1:14">
      <c r="A38" s="270" t="s">
        <v>1022</v>
      </c>
      <c r="B38" s="270" t="s">
        <v>1037</v>
      </c>
      <c r="C38" s="274" t="s">
        <v>1135</v>
      </c>
      <c r="D38" s="275"/>
      <c r="E38" s="275"/>
      <c r="F38" s="275"/>
      <c r="G38" s="275"/>
      <c r="H38" s="275"/>
      <c r="I38" s="276">
        <v>-12899.8</v>
      </c>
      <c r="J38" s="277"/>
      <c r="K38" s="277"/>
      <c r="L38" s="277"/>
      <c r="M38" s="277"/>
      <c r="N38" s="278">
        <v>-12899.8</v>
      </c>
    </row>
    <row r="39" spans="1:14" ht="22.5">
      <c r="A39" s="270" t="s">
        <v>1022</v>
      </c>
      <c r="B39" s="270" t="s">
        <v>1037</v>
      </c>
      <c r="C39" s="270" t="s">
        <v>1053</v>
      </c>
      <c r="D39" s="270" t="s">
        <v>1093</v>
      </c>
      <c r="E39" s="270" t="s">
        <v>1229</v>
      </c>
      <c r="F39" s="270" t="s">
        <v>248</v>
      </c>
      <c r="G39" s="270" t="s">
        <v>249</v>
      </c>
      <c r="H39" s="270" t="s">
        <v>1136</v>
      </c>
      <c r="I39" s="271">
        <v>-728.19</v>
      </c>
      <c r="J39" s="272"/>
      <c r="K39" s="272"/>
      <c r="L39" s="272"/>
      <c r="M39" s="272"/>
      <c r="N39" s="273">
        <v>-728.19</v>
      </c>
    </row>
    <row r="40" spans="1:14">
      <c r="A40" s="270" t="s">
        <v>1022</v>
      </c>
      <c r="B40" s="270" t="s">
        <v>1037</v>
      </c>
      <c r="C40" s="274" t="s">
        <v>1137</v>
      </c>
      <c r="D40" s="275"/>
      <c r="E40" s="275"/>
      <c r="F40" s="275"/>
      <c r="G40" s="275"/>
      <c r="H40" s="275"/>
      <c r="I40" s="276">
        <v>-728.19</v>
      </c>
      <c r="J40" s="277"/>
      <c r="K40" s="277"/>
      <c r="L40" s="277"/>
      <c r="M40" s="277"/>
      <c r="N40" s="278">
        <v>-728.19</v>
      </c>
    </row>
    <row r="41" spans="1:14">
      <c r="A41" s="270" t="s">
        <v>1022</v>
      </c>
      <c r="B41" s="274" t="s">
        <v>1054</v>
      </c>
      <c r="C41" s="275"/>
      <c r="D41" s="275"/>
      <c r="E41" s="275"/>
      <c r="F41" s="275"/>
      <c r="G41" s="275"/>
      <c r="H41" s="275"/>
      <c r="I41" s="276">
        <v>753701.33</v>
      </c>
      <c r="J41" s="277"/>
      <c r="K41" s="277"/>
      <c r="L41" s="277"/>
      <c r="M41" s="277"/>
      <c r="N41" s="278">
        <v>753701.33</v>
      </c>
    </row>
    <row r="42" spans="1:14" ht="22.5">
      <c r="A42" s="270" t="s">
        <v>1022</v>
      </c>
      <c r="B42" s="270" t="s">
        <v>1055</v>
      </c>
      <c r="C42" s="270" t="s">
        <v>1056</v>
      </c>
      <c r="D42" s="270" t="s">
        <v>1093</v>
      </c>
      <c r="E42" s="270" t="s">
        <v>1229</v>
      </c>
      <c r="F42" s="270" t="s">
        <v>248</v>
      </c>
      <c r="G42" s="270" t="s">
        <v>249</v>
      </c>
      <c r="H42" s="270" t="s">
        <v>1138</v>
      </c>
      <c r="I42" s="271">
        <v>20651.87</v>
      </c>
      <c r="J42" s="272"/>
      <c r="K42" s="272"/>
      <c r="L42" s="272"/>
      <c r="M42" s="272"/>
      <c r="N42" s="273">
        <v>20651.87</v>
      </c>
    </row>
    <row r="43" spans="1:14">
      <c r="A43" s="270" t="s">
        <v>1022</v>
      </c>
      <c r="B43" s="270" t="s">
        <v>1055</v>
      </c>
      <c r="C43" s="274" t="s">
        <v>1139</v>
      </c>
      <c r="D43" s="275"/>
      <c r="E43" s="275"/>
      <c r="F43" s="275"/>
      <c r="G43" s="275"/>
      <c r="H43" s="275"/>
      <c r="I43" s="276">
        <v>20651.87</v>
      </c>
      <c r="J43" s="277"/>
      <c r="K43" s="277"/>
      <c r="L43" s="277"/>
      <c r="M43" s="277"/>
      <c r="N43" s="278">
        <v>20651.87</v>
      </c>
    </row>
    <row r="44" spans="1:14">
      <c r="A44" s="270" t="s">
        <v>1022</v>
      </c>
      <c r="B44" s="274" t="s">
        <v>1061</v>
      </c>
      <c r="C44" s="275"/>
      <c r="D44" s="275"/>
      <c r="E44" s="275"/>
      <c r="F44" s="275"/>
      <c r="G44" s="275"/>
      <c r="H44" s="275"/>
      <c r="I44" s="276">
        <v>20651.87</v>
      </c>
      <c r="J44" s="277"/>
      <c r="K44" s="277"/>
      <c r="L44" s="277"/>
      <c r="M44" s="277"/>
      <c r="N44" s="278">
        <v>20651.87</v>
      </c>
    </row>
    <row r="45" spans="1:14">
      <c r="A45" s="274" t="s">
        <v>1069</v>
      </c>
      <c r="B45" s="275"/>
      <c r="C45" s="275"/>
      <c r="D45" s="275"/>
      <c r="E45" s="275"/>
      <c r="F45" s="275"/>
      <c r="G45" s="275"/>
      <c r="H45" s="275"/>
      <c r="I45" s="276">
        <v>18097950.960000001</v>
      </c>
      <c r="J45" s="277"/>
      <c r="K45" s="277"/>
      <c r="L45" s="277"/>
      <c r="M45" s="277"/>
      <c r="N45" s="278">
        <v>18097950.960000001</v>
      </c>
    </row>
    <row r="46" spans="1:14" ht="22.5">
      <c r="A46" s="274" t="s">
        <v>78</v>
      </c>
      <c r="B46" s="275"/>
      <c r="C46" s="275"/>
      <c r="D46" s="275"/>
      <c r="E46" s="275"/>
      <c r="F46" s="275"/>
      <c r="G46" s="275"/>
      <c r="H46" s="275"/>
      <c r="I46" s="276">
        <v>18097950.960000001</v>
      </c>
      <c r="J46" s="277"/>
      <c r="K46" s="277"/>
      <c r="L46" s="277"/>
      <c r="M46" s="277"/>
      <c r="N46" s="278">
        <v>18097950.960000001</v>
      </c>
    </row>
    <row r="47" spans="1:14">
      <c r="N47" s="257" t="s">
        <v>41</v>
      </c>
    </row>
  </sheetData>
  <pageMargins left="0.7" right="0.7" top="0.75" bottom="0.75" header="0.3" footer="0.3"/>
  <pageSetup scale="58" orientation="landscape" r:id="rId1"/>
  <headerFooter>
    <oddFooter>&amp;R&amp;14 &amp;KFF00002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N102"/>
  <sheetViews>
    <sheetView zoomScale="120" zoomScaleNormal="120" workbookViewId="0">
      <selection activeCell="D25" sqref="D25"/>
    </sheetView>
  </sheetViews>
  <sheetFormatPr defaultColWidth="9.140625" defaultRowHeight="15"/>
  <cols>
    <col min="1" max="1" width="12.5703125" style="134" bestFit="1" customWidth="1"/>
    <col min="2" max="2" width="29.5703125" style="544" bestFit="1" customWidth="1"/>
    <col min="3" max="3" width="14.28515625" style="157" customWidth="1"/>
    <col min="4" max="4" width="16.85546875" style="157" bestFit="1" customWidth="1"/>
    <col min="5" max="5" width="16.42578125" style="157" bestFit="1" customWidth="1"/>
    <col min="6" max="6" width="32.28515625" style="282" customWidth="1"/>
    <col min="7" max="7" width="11.85546875" style="134" bestFit="1" customWidth="1"/>
    <col min="8" max="8" width="12.42578125" style="134" customWidth="1"/>
    <col min="9" max="9" width="15.28515625" style="134" bestFit="1" customWidth="1"/>
    <col min="10" max="10" width="13.28515625" style="134" bestFit="1" customWidth="1"/>
    <col min="11" max="11" width="14.85546875" style="134" customWidth="1"/>
    <col min="12" max="12" width="14.28515625" style="134" bestFit="1" customWidth="1"/>
    <col min="13" max="16384" width="9.140625" style="134"/>
  </cols>
  <sheetData>
    <row r="1" spans="1:6">
      <c r="A1" s="160" t="s">
        <v>420</v>
      </c>
      <c r="D1" s="134"/>
    </row>
    <row r="2" spans="1:6" ht="15.75" thickBot="1">
      <c r="D2" s="134"/>
    </row>
    <row r="3" spans="1:6" ht="15.75" thickBot="1">
      <c r="A3" s="2" t="s">
        <v>79</v>
      </c>
      <c r="B3" s="543" t="s">
        <v>1306</v>
      </c>
      <c r="C3"/>
      <c r="D3" s="525" t="s">
        <v>1090</v>
      </c>
      <c r="E3" s="526" t="s">
        <v>140</v>
      </c>
    </row>
    <row r="4" spans="1:6">
      <c r="A4" s="3" t="s">
        <v>1073</v>
      </c>
      <c r="B4" s="543">
        <v>129324</v>
      </c>
      <c r="C4"/>
      <c r="D4" s="134" t="str">
        <f>CONCATENATE("G1",$A4,"000")</f>
        <v>G1374RA00000000</v>
      </c>
      <c r="E4" s="157">
        <v>129324</v>
      </c>
    </row>
    <row r="5" spans="1:6">
      <c r="A5" s="3" t="s">
        <v>1074</v>
      </c>
      <c r="B5" s="543">
        <v>2916070</v>
      </c>
      <c r="C5"/>
      <c r="D5" s="134" t="str">
        <f t="shared" ref="D5:D20" si="0">CONCATENATE("G1",$A5,"000")</f>
        <v>G1376XX00000000</v>
      </c>
      <c r="E5" s="157">
        <v>2916070</v>
      </c>
    </row>
    <row r="6" spans="1:6">
      <c r="A6" s="3" t="s">
        <v>1075</v>
      </c>
      <c r="B6" s="543">
        <v>437169</v>
      </c>
      <c r="C6"/>
      <c r="D6" s="134" t="str">
        <f t="shared" si="0"/>
        <v>G1378XX00000000</v>
      </c>
      <c r="E6" s="157">
        <v>437169</v>
      </c>
    </row>
    <row r="7" spans="1:6">
      <c r="A7" s="3" t="s">
        <v>1076</v>
      </c>
      <c r="B7" s="543">
        <v>47717</v>
      </c>
      <c r="C7"/>
      <c r="D7" s="134" t="str">
        <f t="shared" si="0"/>
        <v>G1379XX00000000</v>
      </c>
      <c r="E7" s="157">
        <v>47717</v>
      </c>
    </row>
    <row r="8" spans="1:6">
      <c r="A8" s="3" t="s">
        <v>1077</v>
      </c>
      <c r="B8" s="543">
        <v>1025324</v>
      </c>
      <c r="C8"/>
      <c r="D8" s="134" t="str">
        <f t="shared" si="0"/>
        <v>G1380XX00000000</v>
      </c>
      <c r="E8" s="157">
        <v>1025324</v>
      </c>
    </row>
    <row r="9" spans="1:6">
      <c r="A9" s="3" t="s">
        <v>1078</v>
      </c>
      <c r="B9" s="543">
        <v>1567524</v>
      </c>
      <c r="C9"/>
      <c r="D9" s="134" t="str">
        <f t="shared" si="0"/>
        <v>G1381XX00000000</v>
      </c>
      <c r="E9" s="157">
        <v>1567524</v>
      </c>
    </row>
    <row r="10" spans="1:6">
      <c r="A10" s="3" t="s">
        <v>1079</v>
      </c>
      <c r="B10" s="543">
        <v>432412</v>
      </c>
      <c r="C10"/>
      <c r="D10" s="134" t="str">
        <f t="shared" si="0"/>
        <v>G1382XX00000000</v>
      </c>
      <c r="E10" s="157">
        <v>432412</v>
      </c>
    </row>
    <row r="11" spans="1:6">
      <c r="A11" s="3" t="s">
        <v>1080</v>
      </c>
      <c r="B11" s="543">
        <v>97678</v>
      </c>
      <c r="C11"/>
      <c r="D11" s="134" t="str">
        <f t="shared" si="0"/>
        <v>G1383XX00000000</v>
      </c>
      <c r="E11" s="157">
        <v>97678</v>
      </c>
    </row>
    <row r="12" spans="1:6">
      <c r="A12" s="3" t="s">
        <v>1081</v>
      </c>
      <c r="B12" s="543">
        <v>100120</v>
      </c>
      <c r="C12"/>
      <c r="D12" s="134" t="str">
        <f t="shared" si="0"/>
        <v>G1384XX00000000</v>
      </c>
      <c r="E12" s="157">
        <v>100120</v>
      </c>
    </row>
    <row r="13" spans="1:6">
      <c r="A13" s="3" t="s">
        <v>1082</v>
      </c>
      <c r="B13" s="543">
        <v>127183</v>
      </c>
      <c r="C13"/>
      <c r="D13" s="134" t="str">
        <f t="shared" si="0"/>
        <v>G1385XX00000000</v>
      </c>
      <c r="E13" s="157">
        <v>127183</v>
      </c>
    </row>
    <row r="14" spans="1:6">
      <c r="A14" s="3" t="s">
        <v>1083</v>
      </c>
      <c r="B14" s="543">
        <v>163320</v>
      </c>
      <c r="C14"/>
      <c r="D14" s="134" t="str">
        <f t="shared" si="0"/>
        <v>G1387XX00000000</v>
      </c>
      <c r="E14" s="157">
        <v>163320</v>
      </c>
    </row>
    <row r="15" spans="1:6">
      <c r="A15" s="3" t="s">
        <v>1084</v>
      </c>
      <c r="B15" s="543">
        <v>199801</v>
      </c>
      <c r="C15"/>
      <c r="D15" s="134" t="str">
        <f t="shared" si="0"/>
        <v>G1390XX00000000</v>
      </c>
      <c r="E15" s="157">
        <v>199801</v>
      </c>
      <c r="F15" s="282" t="s">
        <v>1307</v>
      </c>
    </row>
    <row r="16" spans="1:6">
      <c r="A16" s="3" t="s">
        <v>1085</v>
      </c>
      <c r="B16" s="543">
        <v>107727</v>
      </c>
      <c r="C16"/>
      <c r="D16" s="134" t="str">
        <f t="shared" si="0"/>
        <v>G1391NT00000000</v>
      </c>
      <c r="E16" s="157">
        <v>107727</v>
      </c>
      <c r="F16" s="282" t="s">
        <v>1307</v>
      </c>
    </row>
    <row r="17" spans="1:12">
      <c r="A17" s="3" t="s">
        <v>1086</v>
      </c>
      <c r="B17" s="543">
        <v>33810</v>
      </c>
      <c r="C17"/>
      <c r="D17" s="134" t="str">
        <f t="shared" si="0"/>
        <v>G1391OE00000000</v>
      </c>
      <c r="E17" s="157">
        <v>33810</v>
      </c>
      <c r="F17" s="282" t="s">
        <v>1307</v>
      </c>
    </row>
    <row r="18" spans="1:12">
      <c r="A18" s="3" t="s">
        <v>1087</v>
      </c>
      <c r="B18" s="543">
        <v>654798</v>
      </c>
      <c r="C18"/>
      <c r="D18" s="134" t="str">
        <f t="shared" si="0"/>
        <v>G1392C300000000</v>
      </c>
      <c r="E18" s="157">
        <v>654798</v>
      </c>
    </row>
    <row r="19" spans="1:12">
      <c r="A19" s="3" t="s">
        <v>1088</v>
      </c>
      <c r="B19" s="543">
        <v>144154</v>
      </c>
      <c r="C19"/>
      <c r="D19" s="134" t="str">
        <f t="shared" si="0"/>
        <v>G1394XX00000000</v>
      </c>
      <c r="E19" s="157">
        <v>144154</v>
      </c>
      <c r="F19" s="282" t="s">
        <v>1307</v>
      </c>
    </row>
    <row r="20" spans="1:12" ht="15.75" thickBot="1">
      <c r="A20" s="3" t="s">
        <v>1089</v>
      </c>
      <c r="B20" s="543">
        <v>2354855</v>
      </c>
      <c r="C20"/>
      <c r="D20" s="134" t="str">
        <f t="shared" si="0"/>
        <v>G1397XX00000000</v>
      </c>
      <c r="E20" s="157">
        <v>2354855</v>
      </c>
      <c r="F20" s="282" t="s">
        <v>1307</v>
      </c>
    </row>
    <row r="21" spans="1:12" ht="15.75" thickBot="1">
      <c r="A21" s="3" t="s">
        <v>78</v>
      </c>
      <c r="B21" s="543">
        <v>10538986</v>
      </c>
      <c r="C21" s="161" t="s">
        <v>41</v>
      </c>
      <c r="D21" s="527"/>
      <c r="E21" s="524">
        <f>SUM(E4:E20)</f>
        <v>10538986</v>
      </c>
    </row>
    <row r="22" spans="1:12">
      <c r="A22"/>
      <c r="B22"/>
      <c r="D22" s="134"/>
    </row>
    <row r="23" spans="1:12" ht="14.25" customHeight="1">
      <c r="A23"/>
      <c r="B23" s="298"/>
      <c r="L23" s="157"/>
    </row>
    <row r="24" spans="1:12">
      <c r="A24"/>
      <c r="B24" s="298"/>
      <c r="C24" s="132"/>
      <c r="D24" s="132"/>
    </row>
    <row r="25" spans="1:12">
      <c r="A25"/>
      <c r="B25" s="298"/>
      <c r="D25" s="132"/>
    </row>
    <row r="26" spans="1:12">
      <c r="A26"/>
      <c r="B26" s="298"/>
      <c r="D26" s="132"/>
    </row>
    <row r="27" spans="1:12">
      <c r="A27"/>
      <c r="B27" s="298"/>
      <c r="C27" s="132"/>
      <c r="D27" s="132"/>
    </row>
    <row r="28" spans="1:12">
      <c r="A28"/>
      <c r="B28" s="298"/>
      <c r="C28" s="132"/>
      <c r="D28" s="132"/>
    </row>
    <row r="29" spans="1:12">
      <c r="A29"/>
      <c r="B29" s="298"/>
      <c r="C29" s="132"/>
      <c r="D29" s="132"/>
    </row>
    <row r="30" spans="1:12">
      <c r="A30"/>
      <c r="B30" s="298"/>
      <c r="C30" s="132"/>
      <c r="D30" s="132"/>
    </row>
    <row r="31" spans="1:12">
      <c r="A31"/>
      <c r="B31" s="298"/>
      <c r="C31" s="132"/>
      <c r="D31" s="132"/>
    </row>
    <row r="32" spans="1:12">
      <c r="A32"/>
      <c r="B32" s="298"/>
      <c r="C32" s="132"/>
      <c r="D32" s="132"/>
    </row>
    <row r="33" spans="1:14">
      <c r="A33" s="299" t="s">
        <v>1354</v>
      </c>
      <c r="B33" s="298"/>
      <c r="C33" s="132"/>
      <c r="D33" s="132"/>
    </row>
    <row r="34" spans="1:14">
      <c r="A34"/>
      <c r="B34" s="298"/>
      <c r="C34" s="132"/>
      <c r="D34" s="132"/>
      <c r="G34" s="282"/>
      <c r="H34" s="282"/>
      <c r="I34" s="282"/>
      <c r="J34" s="282"/>
      <c r="K34" s="282"/>
      <c r="L34" s="282"/>
      <c r="M34" s="282"/>
      <c r="N34" s="282"/>
    </row>
    <row r="35" spans="1:14">
      <c r="A35"/>
      <c r="B35" s="298"/>
      <c r="C35" s="132"/>
      <c r="D35" s="132"/>
      <c r="G35" s="282"/>
      <c r="H35" s="282"/>
      <c r="I35" s="282"/>
      <c r="J35" s="282"/>
      <c r="K35" s="282"/>
      <c r="L35" s="282"/>
      <c r="M35" s="282"/>
      <c r="N35" s="282"/>
    </row>
    <row r="36" spans="1:14">
      <c r="A36"/>
      <c r="B36" s="298"/>
      <c r="C36" s="132"/>
      <c r="D36" s="132"/>
      <c r="G36" s="282"/>
      <c r="H36" s="282"/>
      <c r="I36" s="282"/>
      <c r="J36" s="282"/>
      <c r="K36" s="282"/>
      <c r="L36" s="282"/>
      <c r="M36" s="282"/>
      <c r="N36" s="282"/>
    </row>
    <row r="37" spans="1:14">
      <c r="A37"/>
      <c r="B37" s="298"/>
      <c r="C37"/>
      <c r="D37" s="132"/>
    </row>
    <row r="38" spans="1:14">
      <c r="A38"/>
      <c r="B38" s="298"/>
      <c r="C38" s="132"/>
      <c r="D38" s="132"/>
    </row>
    <row r="39" spans="1:14">
      <c r="A39"/>
      <c r="B39" s="545"/>
      <c r="C39" s="280"/>
      <c r="D39" s="132"/>
    </row>
    <row r="40" spans="1:14">
      <c r="A40"/>
      <c r="B40" s="298"/>
      <c r="C40"/>
      <c r="D40" s="132"/>
    </row>
    <row r="41" spans="1:14">
      <c r="A41"/>
      <c r="B41" s="546"/>
      <c r="C41" s="279"/>
      <c r="D41" s="132"/>
    </row>
    <row r="42" spans="1:14">
      <c r="A42"/>
      <c r="B42" s="298"/>
      <c r="C42" s="132"/>
      <c r="D42" s="132"/>
    </row>
    <row r="43" spans="1:14">
      <c r="A43"/>
      <c r="B43" s="298"/>
      <c r="C43" s="132"/>
      <c r="D43" s="132"/>
    </row>
    <row r="44" spans="1:14">
      <c r="A44"/>
      <c r="B44" s="298"/>
      <c r="C44" s="132"/>
      <c r="D44" s="132"/>
    </row>
    <row r="45" spans="1:14">
      <c r="A45"/>
      <c r="B45" s="298"/>
      <c r="C45"/>
      <c r="D45" s="132"/>
    </row>
    <row r="46" spans="1:14">
      <c r="A46"/>
      <c r="B46" s="298"/>
      <c r="C46" s="132"/>
      <c r="D46" s="132"/>
    </row>
    <row r="47" spans="1:14">
      <c r="A47"/>
      <c r="B47" s="298"/>
      <c r="C47" s="132"/>
      <c r="D47" s="132"/>
    </row>
    <row r="48" spans="1:14">
      <c r="A48"/>
      <c r="B48" s="298"/>
      <c r="C48" s="132"/>
      <c r="D48" s="132"/>
    </row>
    <row r="49" spans="1:4">
      <c r="A49"/>
      <c r="B49" s="298"/>
      <c r="C49" s="132"/>
      <c r="D49" s="132"/>
    </row>
    <row r="50" spans="1:4">
      <c r="A50"/>
      <c r="B50" s="298"/>
      <c r="C50" s="132"/>
      <c r="D50" s="132"/>
    </row>
    <row r="51" spans="1:4">
      <c r="A51"/>
      <c r="B51" s="298"/>
      <c r="C51" s="132"/>
      <c r="D51" s="132"/>
    </row>
    <row r="52" spans="1:4">
      <c r="A52"/>
      <c r="B52" s="298"/>
      <c r="C52" s="132"/>
      <c r="D52" s="132"/>
    </row>
    <row r="53" spans="1:4">
      <c r="A53"/>
      <c r="B53" s="298"/>
      <c r="C53" s="132"/>
      <c r="D53" s="132"/>
    </row>
    <row r="54" spans="1:4">
      <c r="A54"/>
      <c r="B54" s="298"/>
      <c r="C54"/>
      <c r="D54" s="132"/>
    </row>
    <row r="55" spans="1:4">
      <c r="A55"/>
      <c r="B55" s="298"/>
      <c r="C55" s="132"/>
      <c r="D55" s="132"/>
    </row>
    <row r="56" spans="1:4">
      <c r="A56"/>
      <c r="B56" s="298"/>
      <c r="C56" s="132"/>
      <c r="D56" s="132"/>
    </row>
    <row r="57" spans="1:4">
      <c r="A57"/>
      <c r="B57" s="298"/>
      <c r="C57" s="132"/>
      <c r="D57" s="132"/>
    </row>
    <row r="58" spans="1:4">
      <c r="A58"/>
      <c r="B58" s="298"/>
      <c r="C58" s="132"/>
      <c r="D58" s="132"/>
    </row>
    <row r="59" spans="1:4">
      <c r="A59"/>
      <c r="B59" s="298"/>
      <c r="C59" s="132"/>
      <c r="D59" s="132"/>
    </row>
    <row r="60" spans="1:4">
      <c r="A60"/>
      <c r="B60" s="298"/>
      <c r="C60" s="132"/>
      <c r="D60" s="132"/>
    </row>
    <row r="61" spans="1:4">
      <c r="A61"/>
      <c r="B61" s="298"/>
      <c r="C61" s="132"/>
      <c r="D61" s="132"/>
    </row>
    <row r="62" spans="1:4">
      <c r="A62"/>
      <c r="B62" s="298"/>
      <c r="C62" s="132"/>
      <c r="D62" s="132"/>
    </row>
    <row r="63" spans="1:4">
      <c r="A63"/>
      <c r="B63" s="298"/>
      <c r="C63" s="132"/>
      <c r="D63" s="132"/>
    </row>
    <row r="64" spans="1:4">
      <c r="A64"/>
      <c r="B64" s="298"/>
      <c r="C64" s="132"/>
      <c r="D64" s="132"/>
    </row>
    <row r="65" spans="1:4">
      <c r="A65"/>
      <c r="B65" s="298"/>
      <c r="C65" s="132"/>
      <c r="D65" s="132"/>
    </row>
    <row r="66" spans="1:4">
      <c r="A66"/>
      <c r="B66" s="298"/>
      <c r="C66" s="132"/>
      <c r="D66" s="132"/>
    </row>
    <row r="67" spans="1:4">
      <c r="A67"/>
      <c r="B67" s="298"/>
      <c r="C67" s="132"/>
      <c r="D67" s="132"/>
    </row>
    <row r="68" spans="1:4">
      <c r="A68"/>
      <c r="B68" s="298"/>
      <c r="C68" s="132"/>
      <c r="D68" s="132"/>
    </row>
    <row r="69" spans="1:4">
      <c r="A69"/>
      <c r="B69" s="298"/>
      <c r="C69" s="132"/>
      <c r="D69" s="132"/>
    </row>
    <row r="70" spans="1:4">
      <c r="A70"/>
      <c r="B70" s="298"/>
      <c r="C70" s="132"/>
      <c r="D70" s="132"/>
    </row>
    <row r="71" spans="1:4">
      <c r="A71"/>
      <c r="B71" s="298"/>
      <c r="C71" s="132"/>
      <c r="D71" s="132"/>
    </row>
    <row r="72" spans="1:4">
      <c r="A72"/>
      <c r="B72" s="298"/>
      <c r="C72" s="132"/>
      <c r="D72" s="132"/>
    </row>
    <row r="73" spans="1:4">
      <c r="A73"/>
      <c r="B73" s="298"/>
      <c r="C73" s="132"/>
      <c r="D73" s="132"/>
    </row>
    <row r="74" spans="1:4">
      <c r="A74"/>
      <c r="B74" s="298"/>
      <c r="C74" s="132"/>
      <c r="D74" s="132"/>
    </row>
    <row r="75" spans="1:4">
      <c r="A75"/>
      <c r="B75" s="298"/>
      <c r="C75" s="132"/>
      <c r="D75" s="132"/>
    </row>
    <row r="76" spans="1:4">
      <c r="A76"/>
      <c r="B76" s="298"/>
      <c r="C76" s="132"/>
      <c r="D76" s="132"/>
    </row>
    <row r="77" spans="1:4">
      <c r="A77"/>
      <c r="B77" s="298"/>
      <c r="C77" s="132"/>
      <c r="D77" s="132"/>
    </row>
    <row r="78" spans="1:4">
      <c r="A78"/>
      <c r="B78" s="298"/>
      <c r="C78" s="132"/>
      <c r="D78" s="132"/>
    </row>
    <row r="79" spans="1:4">
      <c r="A79"/>
      <c r="B79" s="298"/>
      <c r="C79" s="132"/>
      <c r="D79" s="132"/>
    </row>
    <row r="80" spans="1:4">
      <c r="A80"/>
      <c r="B80" s="298"/>
      <c r="C80" s="132"/>
      <c r="D80" s="132"/>
    </row>
    <row r="81" spans="1:4">
      <c r="A81"/>
      <c r="B81" s="298"/>
      <c r="C81" s="132"/>
      <c r="D81" s="132"/>
    </row>
    <row r="82" spans="1:4">
      <c r="A82"/>
      <c r="B82" s="298"/>
      <c r="C82" s="132"/>
      <c r="D82" s="132"/>
    </row>
    <row r="83" spans="1:4">
      <c r="A83"/>
      <c r="B83" s="298"/>
      <c r="C83" s="132"/>
      <c r="D83" s="132"/>
    </row>
    <row r="84" spans="1:4">
      <c r="A84"/>
      <c r="B84" s="298"/>
      <c r="C84" s="132"/>
      <c r="D84" s="132"/>
    </row>
    <row r="85" spans="1:4">
      <c r="A85"/>
      <c r="B85" s="298"/>
      <c r="C85" s="132"/>
      <c r="D85" s="132"/>
    </row>
    <row r="86" spans="1:4">
      <c r="A86"/>
      <c r="B86" s="298"/>
      <c r="C86" s="132"/>
      <c r="D86" s="132"/>
    </row>
    <row r="87" spans="1:4">
      <c r="A87"/>
      <c r="B87" s="298"/>
      <c r="C87" s="132"/>
      <c r="D87" s="132"/>
    </row>
    <row r="88" spans="1:4">
      <c r="A88"/>
      <c r="B88" s="298"/>
      <c r="C88" s="132"/>
      <c r="D88" s="132"/>
    </row>
    <row r="89" spans="1:4">
      <c r="A89"/>
      <c r="B89" s="298"/>
      <c r="C89" s="132"/>
      <c r="D89" s="132"/>
    </row>
    <row r="90" spans="1:4">
      <c r="A90"/>
      <c r="B90" s="298"/>
      <c r="C90" s="132"/>
      <c r="D90" s="132"/>
    </row>
    <row r="91" spans="1:4">
      <c r="A91"/>
      <c r="B91" s="298"/>
      <c r="C91" s="132"/>
      <c r="D91" s="132"/>
    </row>
    <row r="92" spans="1:4">
      <c r="A92"/>
      <c r="B92" s="298"/>
      <c r="C92" s="132"/>
      <c r="D92" s="132"/>
    </row>
    <row r="93" spans="1:4">
      <c r="A93"/>
      <c r="B93" s="298"/>
      <c r="C93" s="132"/>
      <c r="D93" s="132"/>
    </row>
    <row r="94" spans="1:4">
      <c r="A94"/>
      <c r="B94" s="298"/>
      <c r="C94"/>
      <c r="D94" s="132"/>
    </row>
    <row r="95" spans="1:4">
      <c r="A95"/>
      <c r="B95" s="298"/>
      <c r="C95" s="132"/>
      <c r="D95" s="132"/>
    </row>
    <row r="96" spans="1:4">
      <c r="A96"/>
      <c r="B96" s="298"/>
      <c r="C96" s="132"/>
      <c r="D96" s="132"/>
    </row>
    <row r="97" spans="1:5">
      <c r="A97"/>
      <c r="B97" s="298"/>
      <c r="C97" s="132"/>
      <c r="D97" s="132"/>
    </row>
    <row r="98" spans="1:5">
      <c r="A98"/>
      <c r="B98" s="298"/>
      <c r="C98" s="132"/>
      <c r="D98" s="132"/>
      <c r="E98" s="281"/>
    </row>
    <row r="99" spans="1:5">
      <c r="A99"/>
      <c r="B99" s="298"/>
      <c r="C99" s="132"/>
      <c r="D99" s="132"/>
    </row>
    <row r="100" spans="1:5">
      <c r="A100"/>
      <c r="B100" s="298"/>
      <c r="C100" s="132"/>
      <c r="D100" s="132"/>
    </row>
    <row r="101" spans="1:5">
      <c r="A101"/>
      <c r="B101" s="298"/>
      <c r="C101" s="132"/>
    </row>
    <row r="102" spans="1:5">
      <c r="A102"/>
      <c r="B102" s="298"/>
      <c r="C102" s="132"/>
    </row>
  </sheetData>
  <hyperlinks>
    <hyperlink ref="A33" r:id="rId2" xr:uid="{6F1D0359-C608-48A9-BDFB-54FFDC618A74}"/>
  </hyperlinks>
  <pageMargins left="0.25" right="0.25" top="0.75" bottom="0.75" header="0.3" footer="0.3"/>
  <pageSetup scale="71" fitToHeight="0" orientation="landscape" horizontalDpi="1200" verticalDpi="1200" r:id="rId3"/>
  <headerFooter>
    <oddFooter>&amp;R&amp;14 &amp;KFF00003</oddFooter>
  </headerFooter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0"/>
  <sheetViews>
    <sheetView showGridLines="0" workbookViewId="0">
      <selection activeCell="O6" sqref="O6"/>
    </sheetView>
  </sheetViews>
  <sheetFormatPr defaultColWidth="9.140625" defaultRowHeight="15"/>
  <cols>
    <col min="1" max="1" width="16.140625" style="134" customWidth="1"/>
    <col min="2" max="2" width="15.85546875" style="134" customWidth="1"/>
    <col min="3" max="3" width="9" style="134" customWidth="1"/>
    <col min="4" max="4" width="16" style="134" customWidth="1"/>
    <col min="5" max="5" width="13.7109375" style="134" customWidth="1"/>
    <col min="6" max="6" width="12.85546875" style="134" customWidth="1"/>
    <col min="7" max="7" width="12" style="134" customWidth="1"/>
    <col min="8" max="8" width="8.85546875" style="134" customWidth="1"/>
    <col min="9" max="9" width="7" style="134" customWidth="1"/>
    <col min="10" max="10" width="19.5703125" style="134" customWidth="1"/>
    <col min="11" max="11" width="19.28515625" style="151" hidden="1" customWidth="1"/>
    <col min="12" max="12" width="16.7109375" style="151" bestFit="1" customWidth="1"/>
    <col min="13" max="13" width="11.42578125" style="134" customWidth="1"/>
    <col min="14" max="16384" width="9.140625" style="134"/>
  </cols>
  <sheetData>
    <row r="1" spans="1:12">
      <c r="A1" s="133" t="s">
        <v>363</v>
      </c>
    </row>
    <row r="2" spans="1:12">
      <c r="A2" s="135" t="s">
        <v>364</v>
      </c>
    </row>
    <row r="4" spans="1:12">
      <c r="A4" s="136"/>
      <c r="B4" s="137" t="s">
        <v>365</v>
      </c>
    </row>
    <row r="5" spans="1:12">
      <c r="A5" s="138" t="s">
        <v>237</v>
      </c>
      <c r="B5" s="137" t="s">
        <v>366</v>
      </c>
    </row>
    <row r="6" spans="1:12">
      <c r="A6" s="138" t="s">
        <v>237</v>
      </c>
      <c r="B6" s="137" t="s">
        <v>367</v>
      </c>
    </row>
    <row r="7" spans="1:12">
      <c r="A7" s="138" t="s">
        <v>237</v>
      </c>
      <c r="B7" s="137" t="s">
        <v>368</v>
      </c>
    </row>
    <row r="8" spans="1:12">
      <c r="A8" s="138" t="s">
        <v>237</v>
      </c>
      <c r="B8" s="137" t="s">
        <v>369</v>
      </c>
    </row>
    <row r="9" spans="1:12">
      <c r="A9" s="150" t="s">
        <v>235</v>
      </c>
    </row>
    <row r="10" spans="1:12" ht="22.7" customHeight="1">
      <c r="A10" s="139" t="s">
        <v>370</v>
      </c>
      <c r="B10" s="140" t="s">
        <v>371</v>
      </c>
      <c r="C10" s="139" t="s">
        <v>372</v>
      </c>
      <c r="D10" s="153" t="s">
        <v>414</v>
      </c>
      <c r="E10" s="140" t="s">
        <v>239</v>
      </c>
    </row>
    <row r="11" spans="1:12" ht="22.5">
      <c r="A11" s="141" t="s">
        <v>373</v>
      </c>
      <c r="B11" s="141" t="s">
        <v>374</v>
      </c>
      <c r="C11" s="141" t="s">
        <v>375</v>
      </c>
      <c r="D11" s="156" t="s">
        <v>412</v>
      </c>
      <c r="E11" s="141" t="s">
        <v>376</v>
      </c>
      <c r="F11" s="141" t="s">
        <v>377</v>
      </c>
      <c r="G11" s="141" t="s">
        <v>378</v>
      </c>
      <c r="H11" s="141" t="s">
        <v>379</v>
      </c>
      <c r="I11" s="141" t="s">
        <v>380</v>
      </c>
      <c r="J11" s="142" t="s">
        <v>381</v>
      </c>
      <c r="K11" s="152" t="s">
        <v>412</v>
      </c>
    </row>
    <row r="12" spans="1:12" ht="33.75">
      <c r="A12" s="143" t="s">
        <v>1</v>
      </c>
      <c r="B12" s="143" t="s">
        <v>77</v>
      </c>
      <c r="C12" s="143" t="s">
        <v>69</v>
      </c>
      <c r="D12" s="154" t="s">
        <v>233</v>
      </c>
      <c r="E12" s="144">
        <v>157473.60000000001</v>
      </c>
      <c r="F12" s="144">
        <v>-147882.71</v>
      </c>
      <c r="G12" s="144">
        <v>9590.89</v>
      </c>
      <c r="H12" s="143" t="s">
        <v>382</v>
      </c>
      <c r="I12" s="143" t="s">
        <v>383</v>
      </c>
      <c r="J12" s="145" t="s">
        <v>384</v>
      </c>
      <c r="K12" s="151" t="str">
        <f>CONCATENATE("T1",(MID($A12,2,3)),$B12,$C12,"000")</f>
        <v>T1303S2SJN01000</v>
      </c>
    </row>
    <row r="13" spans="1:12" ht="33.75">
      <c r="A13" s="143" t="s">
        <v>2</v>
      </c>
      <c r="B13" s="143" t="s">
        <v>258</v>
      </c>
      <c r="C13" s="143" t="s">
        <v>69</v>
      </c>
      <c r="D13" s="154" t="s">
        <v>3</v>
      </c>
      <c r="E13" s="144">
        <v>163625.22</v>
      </c>
      <c r="F13" s="144">
        <v>-101538.61</v>
      </c>
      <c r="G13" s="144">
        <v>62086.61</v>
      </c>
      <c r="H13" s="143" t="s">
        <v>382</v>
      </c>
      <c r="I13" s="143" t="s">
        <v>383</v>
      </c>
      <c r="J13" s="145" t="s">
        <v>385</v>
      </c>
      <c r="K13" s="151" t="str">
        <f>CONCATENATE("T1",(MID($A13,2,3)),$B13,$C13,"000")</f>
        <v>T1311ENSJN01000</v>
      </c>
    </row>
    <row r="14" spans="1:12" ht="33.75">
      <c r="A14" s="143" t="s">
        <v>2</v>
      </c>
      <c r="B14" s="143" t="s">
        <v>259</v>
      </c>
      <c r="C14" s="143" t="s">
        <v>69</v>
      </c>
      <c r="D14" s="154" t="s">
        <v>260</v>
      </c>
      <c r="E14" s="144">
        <v>2696471.78</v>
      </c>
      <c r="F14" s="144">
        <v>-807435.54</v>
      </c>
      <c r="G14" s="144">
        <v>1889036.24</v>
      </c>
      <c r="H14" s="143" t="s">
        <v>382</v>
      </c>
      <c r="I14" s="143" t="s">
        <v>383</v>
      </c>
      <c r="J14" s="145" t="s">
        <v>386</v>
      </c>
      <c r="K14" s="151" t="str">
        <f>CONCATENATE("T1",(MID($A14,2,3)),"EC",$C14,"000")</f>
        <v>T1311ECSJN01000</v>
      </c>
    </row>
    <row r="15" spans="1:12" ht="33.75">
      <c r="A15" s="143" t="s">
        <v>2</v>
      </c>
      <c r="B15" s="143" t="s">
        <v>387</v>
      </c>
      <c r="C15" s="143" t="s">
        <v>69</v>
      </c>
      <c r="D15" s="154"/>
      <c r="E15" s="144">
        <v>0</v>
      </c>
      <c r="F15" s="144">
        <v>-3980747.53</v>
      </c>
      <c r="G15" s="144">
        <v>-3980747.53</v>
      </c>
      <c r="H15" s="143" t="s">
        <v>382</v>
      </c>
      <c r="I15" s="143" t="s">
        <v>383</v>
      </c>
      <c r="J15" s="145" t="s">
        <v>388</v>
      </c>
      <c r="K15" s="134"/>
      <c r="L15" s="134"/>
    </row>
    <row r="16" spans="1:12" ht="33.75">
      <c r="A16" s="143" t="s">
        <v>2</v>
      </c>
      <c r="B16" s="143" t="s">
        <v>248</v>
      </c>
      <c r="C16" s="143" t="s">
        <v>69</v>
      </c>
      <c r="D16" s="154" t="s">
        <v>4</v>
      </c>
      <c r="E16" s="144">
        <v>17582167.57</v>
      </c>
      <c r="F16" s="144">
        <v>-13182653.08</v>
      </c>
      <c r="G16" s="144">
        <v>4399514.49</v>
      </c>
      <c r="H16" s="143" t="s">
        <v>382</v>
      </c>
      <c r="I16" s="143" t="s">
        <v>383</v>
      </c>
      <c r="J16" s="145" t="s">
        <v>389</v>
      </c>
      <c r="K16" s="151" t="str">
        <f>CONCATENATE("T1",(MID($A16,2,3)),$B16,$C16,"000")</f>
        <v>T1311XXSJN01000</v>
      </c>
    </row>
    <row r="17" spans="1:12" ht="33.75">
      <c r="A17" s="143" t="s">
        <v>5</v>
      </c>
      <c r="B17" s="143" t="s">
        <v>258</v>
      </c>
      <c r="C17" s="143" t="s">
        <v>69</v>
      </c>
      <c r="D17" s="154" t="s">
        <v>7</v>
      </c>
      <c r="E17" s="144">
        <v>85555132.719999999</v>
      </c>
      <c r="F17" s="144">
        <v>-70521563.859999999</v>
      </c>
      <c r="G17" s="144">
        <v>15033568.859999999</v>
      </c>
      <c r="H17" s="143" t="s">
        <v>382</v>
      </c>
      <c r="I17" s="143" t="s">
        <v>383</v>
      </c>
      <c r="J17" s="145" t="s">
        <v>390</v>
      </c>
      <c r="K17" s="151" t="str">
        <f>CONCATENATE("T1",(MID($A17,2,3)),$B17,$C17,"000")</f>
        <v>T1312ENSJN01000</v>
      </c>
    </row>
    <row r="18" spans="1:12" ht="33.75">
      <c r="A18" s="143" t="s">
        <v>5</v>
      </c>
      <c r="B18" s="143" t="s">
        <v>259</v>
      </c>
      <c r="C18" s="143" t="s">
        <v>69</v>
      </c>
      <c r="D18" s="154" t="s">
        <v>6</v>
      </c>
      <c r="E18" s="144">
        <v>39351083.759999998</v>
      </c>
      <c r="F18" s="144">
        <v>-34154283.399999999</v>
      </c>
      <c r="G18" s="144">
        <v>5196800.3600000003</v>
      </c>
      <c r="H18" s="143" t="s">
        <v>382</v>
      </c>
      <c r="I18" s="143" t="s">
        <v>383</v>
      </c>
      <c r="J18" s="145" t="s">
        <v>391</v>
      </c>
      <c r="K18" s="151" t="str">
        <f>CONCATENATE("T1",(MID($A18,2,3)),"EC",$C18,"000")</f>
        <v>T1312ECSJN01000</v>
      </c>
    </row>
    <row r="19" spans="1:12" ht="33.75">
      <c r="A19" s="143" t="s">
        <v>5</v>
      </c>
      <c r="B19" s="143" t="s">
        <v>387</v>
      </c>
      <c r="C19" s="143" t="s">
        <v>69</v>
      </c>
      <c r="D19" s="154"/>
      <c r="E19" s="144">
        <v>0</v>
      </c>
      <c r="F19" s="144">
        <v>-25380216.420000002</v>
      </c>
      <c r="G19" s="144">
        <v>-25380216.420000002</v>
      </c>
      <c r="H19" s="143" t="s">
        <v>382</v>
      </c>
      <c r="I19" s="143" t="s">
        <v>383</v>
      </c>
      <c r="J19" s="145" t="s">
        <v>392</v>
      </c>
      <c r="K19" s="134"/>
      <c r="L19" s="134"/>
    </row>
    <row r="20" spans="1:12" ht="33.75">
      <c r="A20" s="143" t="s">
        <v>5</v>
      </c>
      <c r="B20" s="143" t="s">
        <v>248</v>
      </c>
      <c r="C20" s="143" t="s">
        <v>69</v>
      </c>
      <c r="D20" s="154" t="s">
        <v>8</v>
      </c>
      <c r="E20" s="144">
        <v>74447219.859999999</v>
      </c>
      <c r="F20" s="144">
        <v>-58494063.490000002</v>
      </c>
      <c r="G20" s="144">
        <v>15953156.369999999</v>
      </c>
      <c r="H20" s="143" t="s">
        <v>382</v>
      </c>
      <c r="I20" s="143" t="s">
        <v>383</v>
      </c>
      <c r="J20" s="145" t="s">
        <v>393</v>
      </c>
      <c r="K20" s="151" t="str">
        <f>CONCATENATE("T1",(MID($A20,2,3)),$B20,$C20,"000")</f>
        <v>T1312XXSJN01000</v>
      </c>
    </row>
    <row r="21" spans="1:12" ht="33.75">
      <c r="A21" s="143" t="s">
        <v>9</v>
      </c>
      <c r="B21" s="143" t="s">
        <v>258</v>
      </c>
      <c r="C21" s="143" t="s">
        <v>69</v>
      </c>
      <c r="D21" s="154" t="s">
        <v>10</v>
      </c>
      <c r="E21" s="144">
        <v>12282489.289999999</v>
      </c>
      <c r="F21" s="144">
        <v>-12119610.140000001</v>
      </c>
      <c r="G21" s="144">
        <v>162879.15</v>
      </c>
      <c r="H21" s="143" t="s">
        <v>382</v>
      </c>
      <c r="I21" s="143" t="s">
        <v>383</v>
      </c>
      <c r="J21" s="145" t="s">
        <v>394</v>
      </c>
      <c r="K21" s="151" t="str">
        <f>CONCATENATE("T1",(MID($A21,2,3)),$B21,$C21,"000")</f>
        <v>T1314ENSJN01000</v>
      </c>
    </row>
    <row r="22" spans="1:12" ht="33.75">
      <c r="A22" s="143" t="s">
        <v>9</v>
      </c>
      <c r="B22" s="143" t="s">
        <v>387</v>
      </c>
      <c r="C22" s="143" t="s">
        <v>69</v>
      </c>
      <c r="D22" s="154"/>
      <c r="E22" s="144">
        <v>0</v>
      </c>
      <c r="F22" s="144">
        <v>-6591503.0899999999</v>
      </c>
      <c r="G22" s="144">
        <v>-6591503.0899999999</v>
      </c>
      <c r="H22" s="143" t="s">
        <v>382</v>
      </c>
      <c r="I22" s="143" t="s">
        <v>383</v>
      </c>
      <c r="J22" s="145" t="s">
        <v>395</v>
      </c>
      <c r="K22" s="134"/>
      <c r="L22" s="134"/>
    </row>
    <row r="23" spans="1:12" ht="33.75">
      <c r="A23" s="143" t="s">
        <v>9</v>
      </c>
      <c r="B23" s="143" t="s">
        <v>248</v>
      </c>
      <c r="C23" s="143" t="s">
        <v>69</v>
      </c>
      <c r="D23" s="154" t="s">
        <v>11</v>
      </c>
      <c r="E23" s="144">
        <v>29924712.129999999</v>
      </c>
      <c r="F23" s="144">
        <v>-26109005.879999999</v>
      </c>
      <c r="G23" s="144">
        <v>3815706.25</v>
      </c>
      <c r="H23" s="143" t="s">
        <v>382</v>
      </c>
      <c r="I23" s="143" t="s">
        <v>383</v>
      </c>
      <c r="J23" s="145" t="s">
        <v>396</v>
      </c>
      <c r="K23" s="151" t="str">
        <f>CONCATENATE("T1",(MID($A23,2,3)),"EC",$C23,"000")</f>
        <v>T1314ECSJN01000</v>
      </c>
    </row>
    <row r="24" spans="1:12" ht="33.75">
      <c r="A24" s="143" t="s">
        <v>12</v>
      </c>
      <c r="B24" s="143" t="s">
        <v>259</v>
      </c>
      <c r="C24" s="143" t="s">
        <v>69</v>
      </c>
      <c r="D24" s="154" t="s">
        <v>13</v>
      </c>
      <c r="E24" s="144">
        <v>591908.39</v>
      </c>
      <c r="F24" s="144">
        <v>6481.01</v>
      </c>
      <c r="G24" s="144">
        <v>598389.4</v>
      </c>
      <c r="H24" s="143" t="s">
        <v>382</v>
      </c>
      <c r="I24" s="143" t="s">
        <v>383</v>
      </c>
      <c r="J24" s="145" t="s">
        <v>397</v>
      </c>
      <c r="K24" s="151" t="str">
        <f>CONCATENATE("T1",(MID($A24,2,3)),"EC",$C24,"000")</f>
        <v>T1315ECSJN01000</v>
      </c>
    </row>
    <row r="25" spans="1:12" ht="33.75">
      <c r="A25" s="143" t="s">
        <v>12</v>
      </c>
      <c r="B25" s="143" t="s">
        <v>387</v>
      </c>
      <c r="C25" s="143" t="s">
        <v>69</v>
      </c>
      <c r="D25" s="154"/>
      <c r="E25" s="144">
        <v>0</v>
      </c>
      <c r="F25" s="144">
        <v>-6050429.25</v>
      </c>
      <c r="G25" s="144">
        <v>-6050429.25</v>
      </c>
      <c r="H25" s="143" t="s">
        <v>382</v>
      </c>
      <c r="I25" s="143" t="s">
        <v>383</v>
      </c>
      <c r="J25" s="145" t="s">
        <v>398</v>
      </c>
      <c r="K25" s="134"/>
      <c r="L25" s="134"/>
    </row>
    <row r="26" spans="1:12" ht="33.75">
      <c r="A26" s="143" t="s">
        <v>12</v>
      </c>
      <c r="B26" s="143" t="s">
        <v>248</v>
      </c>
      <c r="C26" s="143" t="s">
        <v>69</v>
      </c>
      <c r="D26" s="154" t="s">
        <v>14</v>
      </c>
      <c r="E26" s="144">
        <v>17081723.43</v>
      </c>
      <c r="F26" s="144">
        <v>-11289719.35</v>
      </c>
      <c r="G26" s="144">
        <v>5792004.0800000001</v>
      </c>
      <c r="H26" s="143" t="s">
        <v>382</v>
      </c>
      <c r="I26" s="143" t="s">
        <v>383</v>
      </c>
      <c r="J26" s="145" t="s">
        <v>399</v>
      </c>
      <c r="K26" s="151" t="str">
        <f>CONCATENATE("T1",(MID($A26,2,3)),$B26,$C26,"000")</f>
        <v>T1315XXSJN01000</v>
      </c>
    </row>
    <row r="27" spans="1:12" ht="33.75">
      <c r="A27" s="143" t="s">
        <v>15</v>
      </c>
      <c r="B27" s="143" t="s">
        <v>387</v>
      </c>
      <c r="C27" s="143" t="s">
        <v>69</v>
      </c>
      <c r="D27" s="154"/>
      <c r="E27" s="144">
        <v>0</v>
      </c>
      <c r="F27" s="144">
        <v>-604847.77</v>
      </c>
      <c r="G27" s="144">
        <v>-604847.77</v>
      </c>
      <c r="H27" s="143" t="s">
        <v>382</v>
      </c>
      <c r="I27" s="143" t="s">
        <v>383</v>
      </c>
      <c r="J27" s="145" t="s">
        <v>400</v>
      </c>
      <c r="K27" s="134"/>
      <c r="L27" s="134"/>
    </row>
    <row r="28" spans="1:12" ht="33.75">
      <c r="A28" s="143" t="s">
        <v>15</v>
      </c>
      <c r="B28" s="143" t="s">
        <v>248</v>
      </c>
      <c r="C28" s="143" t="s">
        <v>69</v>
      </c>
      <c r="D28" s="154" t="s">
        <v>16</v>
      </c>
      <c r="E28" s="144">
        <v>2247571.66</v>
      </c>
      <c r="F28" s="144">
        <v>-1647531.61</v>
      </c>
      <c r="G28" s="144">
        <v>600040.05000000005</v>
      </c>
      <c r="H28" s="143" t="s">
        <v>382</v>
      </c>
      <c r="I28" s="143" t="s">
        <v>383</v>
      </c>
      <c r="J28" s="145" t="s">
        <v>401</v>
      </c>
      <c r="K28" s="151" t="str">
        <f>CONCATENATE("T1",(MID($A28,2,3)),$B28,$C28,"000")</f>
        <v>T1316XXSJN01000</v>
      </c>
    </row>
    <row r="29" spans="1:12" ht="33.75">
      <c r="A29" s="143" t="s">
        <v>30</v>
      </c>
      <c r="B29" s="143" t="s">
        <v>387</v>
      </c>
      <c r="C29" s="143" t="s">
        <v>69</v>
      </c>
      <c r="D29" s="154"/>
      <c r="E29" s="144">
        <v>0</v>
      </c>
      <c r="F29" s="144">
        <v>-21526.34</v>
      </c>
      <c r="G29" s="144">
        <v>-21526.34</v>
      </c>
      <c r="H29" s="143" t="s">
        <v>382</v>
      </c>
      <c r="I29" s="143" t="s">
        <v>383</v>
      </c>
      <c r="J29" s="145" t="s">
        <v>402</v>
      </c>
      <c r="K29" s="134"/>
      <c r="L29" s="134"/>
    </row>
    <row r="30" spans="1:12" ht="33.75">
      <c r="A30" s="143" t="s">
        <v>30</v>
      </c>
      <c r="B30" s="143" t="s">
        <v>248</v>
      </c>
      <c r="C30" s="143" t="s">
        <v>69</v>
      </c>
      <c r="D30" s="154" t="s">
        <v>277</v>
      </c>
      <c r="E30" s="144">
        <v>857686.85</v>
      </c>
      <c r="F30" s="144">
        <v>-454023.91</v>
      </c>
      <c r="G30" s="144">
        <v>403662.94</v>
      </c>
      <c r="H30" s="143" t="s">
        <v>382</v>
      </c>
      <c r="I30" s="143" t="s">
        <v>383</v>
      </c>
      <c r="J30" s="145" t="s">
        <v>403</v>
      </c>
      <c r="K30" s="151" t="str">
        <f>CONCATENATE("T1",(MID($A30,2,3)),$B30,$C30,"000")</f>
        <v>T1390XXSJN01000</v>
      </c>
    </row>
    <row r="31" spans="1:12" ht="33.75">
      <c r="A31" s="143" t="s">
        <v>31</v>
      </c>
      <c r="B31" s="143" t="s">
        <v>282</v>
      </c>
      <c r="C31" s="143" t="s">
        <v>69</v>
      </c>
      <c r="D31" s="154" t="s">
        <v>284</v>
      </c>
      <c r="E31" s="144">
        <v>790382.95</v>
      </c>
      <c r="F31" s="144">
        <v>-619436.17000000004</v>
      </c>
      <c r="G31" s="144">
        <v>170946.78</v>
      </c>
      <c r="H31" s="143" t="s">
        <v>382</v>
      </c>
      <c r="I31" s="143" t="s">
        <v>383</v>
      </c>
      <c r="J31" s="145" t="s">
        <v>404</v>
      </c>
      <c r="K31" s="151" t="str">
        <f>CONCATENATE("T1",(MID($A31,2,3)),$B31,$C31,"000")</f>
        <v>T1391OESJN01000</v>
      </c>
    </row>
    <row r="32" spans="1:12" ht="33.75">
      <c r="A32" s="143" t="s">
        <v>32</v>
      </c>
      <c r="B32" s="143" t="s">
        <v>295</v>
      </c>
      <c r="C32" s="143" t="s">
        <v>69</v>
      </c>
      <c r="D32" s="154" t="s">
        <v>296</v>
      </c>
      <c r="E32" s="144">
        <v>400329.18</v>
      </c>
      <c r="F32" s="144">
        <v>-412709.88</v>
      </c>
      <c r="G32" s="144">
        <v>-12380.7</v>
      </c>
      <c r="H32" s="143" t="s">
        <v>382</v>
      </c>
      <c r="I32" s="143" t="s">
        <v>383</v>
      </c>
      <c r="J32" s="145" t="s">
        <v>405</v>
      </c>
      <c r="K32" s="151" t="str">
        <f>CONCATENATE("T1",(MID($A32,2,3)),$B32,$C32,"000")</f>
        <v>T1392C0SJN01000</v>
      </c>
    </row>
    <row r="33" spans="1:12" ht="33.75">
      <c r="A33" s="143" t="s">
        <v>32</v>
      </c>
      <c r="B33" s="143" t="s">
        <v>387</v>
      </c>
      <c r="C33" s="143" t="s">
        <v>69</v>
      </c>
      <c r="D33" s="154"/>
      <c r="E33" s="144">
        <v>0</v>
      </c>
      <c r="F33" s="144">
        <v>686034.53</v>
      </c>
      <c r="G33" s="144">
        <v>686034.53</v>
      </c>
      <c r="H33" s="143" t="s">
        <v>382</v>
      </c>
      <c r="I33" s="143" t="s">
        <v>383</v>
      </c>
      <c r="J33" s="145" t="s">
        <v>406</v>
      </c>
      <c r="K33" s="134"/>
      <c r="L33" s="134"/>
    </row>
    <row r="34" spans="1:12" ht="33.75">
      <c r="A34" s="143" t="s">
        <v>33</v>
      </c>
      <c r="B34" s="143" t="s">
        <v>248</v>
      </c>
      <c r="C34" s="143" t="s">
        <v>69</v>
      </c>
      <c r="D34" s="154" t="s">
        <v>297</v>
      </c>
      <c r="E34" s="144">
        <v>35647.49</v>
      </c>
      <c r="F34" s="144">
        <v>-11519.87</v>
      </c>
      <c r="G34" s="144">
        <v>24127.62</v>
      </c>
      <c r="H34" s="143" t="s">
        <v>382</v>
      </c>
      <c r="I34" s="143" t="s">
        <v>383</v>
      </c>
      <c r="J34" s="145" t="s">
        <v>407</v>
      </c>
      <c r="K34" s="151" t="str">
        <f>CONCATENATE("T1",(MID($A34,2,3)),$B34,$C34,"000")</f>
        <v>T1393XXSJN01000</v>
      </c>
    </row>
    <row r="35" spans="1:12" ht="33.75">
      <c r="A35" s="143" t="s">
        <v>34</v>
      </c>
      <c r="B35" s="143" t="s">
        <v>248</v>
      </c>
      <c r="C35" s="143" t="s">
        <v>69</v>
      </c>
      <c r="D35" s="154" t="s">
        <v>298</v>
      </c>
      <c r="E35" s="144">
        <v>48200.1</v>
      </c>
      <c r="F35" s="144">
        <v>-26499.46</v>
      </c>
      <c r="G35" s="144">
        <v>21700.639999999999</v>
      </c>
      <c r="H35" s="143" t="s">
        <v>382</v>
      </c>
      <c r="I35" s="143" t="s">
        <v>383</v>
      </c>
      <c r="J35" s="145" t="s">
        <v>408</v>
      </c>
      <c r="K35" s="151" t="str">
        <f>CONCATENATE("T1",(MID($A35,2,3)),$B35,$C35,"000")</f>
        <v>T1394XXSJN01000</v>
      </c>
    </row>
    <row r="36" spans="1:12" ht="33.75">
      <c r="A36" s="143" t="s">
        <v>35</v>
      </c>
      <c r="B36" s="143" t="s">
        <v>387</v>
      </c>
      <c r="C36" s="143" t="s">
        <v>69</v>
      </c>
      <c r="D36" s="154"/>
      <c r="E36" s="144">
        <v>0</v>
      </c>
      <c r="F36" s="144">
        <v>1350.71</v>
      </c>
      <c r="G36" s="144">
        <v>1350.71</v>
      </c>
      <c r="H36" s="143" t="s">
        <v>382</v>
      </c>
      <c r="I36" s="143" t="s">
        <v>383</v>
      </c>
      <c r="J36" s="145" t="s">
        <v>409</v>
      </c>
      <c r="K36" s="134"/>
      <c r="L36" s="134"/>
    </row>
    <row r="37" spans="1:12" ht="33.75">
      <c r="A37" s="143" t="s">
        <v>35</v>
      </c>
      <c r="B37" s="143" t="s">
        <v>248</v>
      </c>
      <c r="C37" s="143" t="s">
        <v>69</v>
      </c>
      <c r="D37" s="154" t="s">
        <v>299</v>
      </c>
      <c r="E37" s="144">
        <v>137937.26999999999</v>
      </c>
      <c r="F37" s="144">
        <v>-129593.92</v>
      </c>
      <c r="G37" s="144">
        <v>8343.35</v>
      </c>
      <c r="H37" s="143" t="s">
        <v>382</v>
      </c>
      <c r="I37" s="143" t="s">
        <v>383</v>
      </c>
      <c r="J37" s="145" t="s">
        <v>410</v>
      </c>
      <c r="K37" s="151" t="str">
        <f>CONCATENATE("T1",(MID($A37,2,3)),$B37,$C37,"000")</f>
        <v>T1396XXSJN01000</v>
      </c>
    </row>
    <row r="38" spans="1:12" ht="33.75">
      <c r="A38" s="143" t="s">
        <v>36</v>
      </c>
      <c r="B38" s="143" t="s">
        <v>248</v>
      </c>
      <c r="C38" s="143" t="s">
        <v>69</v>
      </c>
      <c r="D38" s="154" t="s">
        <v>413</v>
      </c>
      <c r="E38" s="144">
        <v>437176.89</v>
      </c>
      <c r="F38" s="144">
        <v>0</v>
      </c>
      <c r="G38" s="144">
        <v>437176.89</v>
      </c>
      <c r="H38" s="143" t="s">
        <v>382</v>
      </c>
      <c r="I38" s="143" t="s">
        <v>383</v>
      </c>
      <c r="J38" s="145" t="s">
        <v>411</v>
      </c>
      <c r="K38" s="151" t="str">
        <f>CONCATENATE("T1",(MID($A38,2,3)),$B38,$C38,"000")</f>
        <v>T1397XXSJN01000</v>
      </c>
    </row>
    <row r="39" spans="1:12">
      <c r="A39" s="146" t="s">
        <v>78</v>
      </c>
      <c r="B39" s="147"/>
      <c r="C39" s="147"/>
      <c r="D39" s="155"/>
      <c r="E39" s="148">
        <v>284788940.13999999</v>
      </c>
      <c r="F39" s="148">
        <v>-272164475.02999997</v>
      </c>
      <c r="G39" s="148">
        <v>12624465.109999999</v>
      </c>
      <c r="H39" s="147"/>
      <c r="I39" s="147"/>
      <c r="J39" s="149"/>
    </row>
    <row r="40" spans="1:12">
      <c r="E40" s="162" t="s">
        <v>421</v>
      </c>
    </row>
  </sheetData>
  <autoFilter ref="A11:E39" xr:uid="{00000000-0009-0000-0000-00000A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59999389629810485"/>
    <pageSetUpPr fitToPage="1"/>
  </sheetPr>
  <dimension ref="A1:O71"/>
  <sheetViews>
    <sheetView showGridLines="0" zoomScaleNormal="100" workbookViewId="0">
      <pane xSplit="1" topLeftCell="B1" activePane="topRight" state="frozen"/>
      <selection pane="topRight" activeCell="H25" sqref="H25"/>
    </sheetView>
  </sheetViews>
  <sheetFormatPr defaultRowHeight="15"/>
  <cols>
    <col min="1" max="1" width="38.5703125" customWidth="1"/>
    <col min="2" max="3" width="10.7109375" bestFit="1" customWidth="1"/>
    <col min="4" max="4" width="9.7109375" bestFit="1" customWidth="1"/>
    <col min="5" max="5" width="10.5703125" customWidth="1"/>
    <col min="6" max="6" width="13.85546875" customWidth="1"/>
    <col min="7" max="7" width="18.42578125" bestFit="1" customWidth="1"/>
    <col min="8" max="8" width="38.5703125" customWidth="1"/>
    <col min="9" max="9" width="10.7109375" bestFit="1" customWidth="1"/>
    <col min="10" max="11" width="9.7109375" bestFit="1" customWidth="1"/>
    <col min="12" max="12" width="10.85546875" customWidth="1"/>
    <col min="13" max="15" width="12.85546875" bestFit="1" customWidth="1"/>
  </cols>
  <sheetData>
    <row r="1" spans="1:14">
      <c r="A1" s="235" t="s">
        <v>1070</v>
      </c>
      <c r="F1" s="249" t="s">
        <v>798</v>
      </c>
      <c r="H1" s="234" t="s">
        <v>1071</v>
      </c>
      <c r="M1" s="249" t="s">
        <v>798</v>
      </c>
      <c r="N1" s="249" t="s">
        <v>800</v>
      </c>
    </row>
    <row r="2" spans="1:14">
      <c r="A2" s="718" t="s">
        <v>430</v>
      </c>
      <c r="B2" s="718"/>
      <c r="C2" s="718"/>
      <c r="D2" s="718"/>
      <c r="E2" s="718"/>
      <c r="F2" s="249" t="s">
        <v>799</v>
      </c>
      <c r="H2" s="718" t="s">
        <v>430</v>
      </c>
      <c r="I2" s="718"/>
      <c r="J2" s="718"/>
      <c r="K2" s="718"/>
      <c r="L2" s="718"/>
      <c r="M2" s="249" t="s">
        <v>799</v>
      </c>
      <c r="N2" s="249" t="s">
        <v>801</v>
      </c>
    </row>
    <row r="3" spans="1:14">
      <c r="A3" s="718" t="s">
        <v>232</v>
      </c>
      <c r="B3" s="718"/>
      <c r="C3" s="718"/>
      <c r="D3" s="718"/>
      <c r="E3" s="718"/>
      <c r="F3" s="243"/>
      <c r="H3" s="718" t="s">
        <v>232</v>
      </c>
      <c r="I3" s="718"/>
      <c r="J3" s="718"/>
      <c r="K3" s="718"/>
      <c r="L3" s="718"/>
      <c r="M3" s="243"/>
      <c r="N3" s="249" t="s">
        <v>802</v>
      </c>
    </row>
    <row r="4" spans="1:14">
      <c r="A4" s="718" t="s">
        <v>431</v>
      </c>
      <c r="B4" s="718"/>
      <c r="C4" s="718"/>
      <c r="D4" s="718"/>
      <c r="E4" s="718"/>
      <c r="F4" s="243"/>
      <c r="H4" s="718" t="s">
        <v>796</v>
      </c>
      <c r="I4" s="718"/>
      <c r="J4" s="718"/>
      <c r="K4" s="718"/>
      <c r="L4" s="718"/>
      <c r="M4" s="243"/>
      <c r="N4" s="243"/>
    </row>
    <row r="5" spans="1:14">
      <c r="A5" s="718" t="s">
        <v>432</v>
      </c>
      <c r="B5" s="718"/>
      <c r="C5" s="718"/>
      <c r="D5" s="718"/>
      <c r="E5" s="718"/>
      <c r="F5" s="243"/>
      <c r="H5" s="718" t="s">
        <v>797</v>
      </c>
      <c r="I5" s="718"/>
      <c r="J5" s="718"/>
      <c r="K5" s="718"/>
      <c r="L5" s="718"/>
      <c r="M5" s="243"/>
      <c r="N5" s="243"/>
    </row>
    <row r="6" spans="1:14">
      <c r="A6" s="16"/>
      <c r="B6" s="236"/>
      <c r="C6" s="17" t="s">
        <v>224</v>
      </c>
      <c r="D6" s="17" t="s">
        <v>223</v>
      </c>
      <c r="E6" s="17" t="s">
        <v>222</v>
      </c>
      <c r="F6" s="244" t="s">
        <v>795</v>
      </c>
      <c r="H6" s="16"/>
      <c r="I6" s="250"/>
      <c r="J6" s="251" t="s">
        <v>224</v>
      </c>
      <c r="K6" s="251" t="s">
        <v>223</v>
      </c>
      <c r="L6" s="251" t="s">
        <v>222</v>
      </c>
      <c r="M6" s="252" t="s">
        <v>795</v>
      </c>
      <c r="N6" s="252" t="s">
        <v>805</v>
      </c>
    </row>
    <row r="7" spans="1:14">
      <c r="A7" s="16"/>
      <c r="B7" s="237" t="s">
        <v>40</v>
      </c>
      <c r="C7" s="18"/>
      <c r="D7" s="18"/>
      <c r="E7" s="18"/>
      <c r="F7" s="243"/>
      <c r="H7" s="16"/>
      <c r="I7" s="17" t="s">
        <v>40</v>
      </c>
      <c r="J7" s="18"/>
      <c r="K7" s="18"/>
      <c r="L7" s="18"/>
      <c r="M7" s="243"/>
      <c r="N7" s="243"/>
    </row>
    <row r="8" spans="1:14">
      <c r="A8" s="16"/>
      <c r="B8" s="238"/>
      <c r="C8" s="18"/>
      <c r="D8" s="18"/>
      <c r="E8" s="18"/>
      <c r="F8" s="243"/>
      <c r="H8" s="16"/>
      <c r="I8" s="18"/>
      <c r="J8" s="18"/>
      <c r="K8" s="18"/>
      <c r="L8" s="18"/>
      <c r="M8" s="243"/>
      <c r="N8" s="243"/>
    </row>
    <row r="9" spans="1:14">
      <c r="A9" s="165" t="s">
        <v>221</v>
      </c>
      <c r="B9" s="238"/>
      <c r="C9" s="18"/>
      <c r="D9" s="18"/>
      <c r="E9" s="18"/>
      <c r="F9" s="243"/>
      <c r="H9" s="165" t="s">
        <v>221</v>
      </c>
      <c r="I9" s="18"/>
      <c r="J9" s="18"/>
      <c r="K9" s="18"/>
      <c r="L9" s="18"/>
      <c r="M9" s="243"/>
      <c r="N9" s="243"/>
    </row>
    <row r="10" spans="1:14">
      <c r="A10" s="19" t="s">
        <v>220</v>
      </c>
      <c r="B10" s="239">
        <v>153186</v>
      </c>
      <c r="C10" s="20">
        <v>0</v>
      </c>
      <c r="D10" s="20">
        <v>225824</v>
      </c>
      <c r="E10" s="20">
        <v>-72637</v>
      </c>
      <c r="F10" s="245">
        <f>C10+D10</f>
        <v>225824</v>
      </c>
      <c r="H10" s="19" t="s">
        <v>220</v>
      </c>
      <c r="I10" s="20">
        <v>153905</v>
      </c>
      <c r="J10" s="20">
        <v>0</v>
      </c>
      <c r="K10" s="20">
        <v>226543</v>
      </c>
      <c r="L10" s="20">
        <v>-72637</v>
      </c>
      <c r="M10" s="245">
        <f>J10+K10</f>
        <v>226543</v>
      </c>
      <c r="N10" s="245">
        <f>ROUND(I10+B10,0)</f>
        <v>307091</v>
      </c>
    </row>
    <row r="11" spans="1:14">
      <c r="A11" s="165" t="s">
        <v>219</v>
      </c>
      <c r="B11" s="240">
        <v>153186</v>
      </c>
      <c r="C11" s="21">
        <v>0</v>
      </c>
      <c r="D11" s="21">
        <v>225824</v>
      </c>
      <c r="E11" s="21">
        <v>-72637</v>
      </c>
      <c r="F11" s="246">
        <f>SUM(F10)</f>
        <v>225824</v>
      </c>
      <c r="H11" s="165" t="s">
        <v>219</v>
      </c>
      <c r="I11" s="21">
        <v>153905</v>
      </c>
      <c r="J11" s="21">
        <v>0</v>
      </c>
      <c r="K11" s="21">
        <v>226543</v>
      </c>
      <c r="L11" s="21">
        <v>-72637</v>
      </c>
      <c r="M11" s="255">
        <f>SUM(M10)</f>
        <v>226543</v>
      </c>
      <c r="N11" s="253">
        <f>SUM(N10)</f>
        <v>307091</v>
      </c>
    </row>
    <row r="12" spans="1:14">
      <c r="A12" s="16"/>
      <c r="B12" s="238"/>
      <c r="C12" s="18"/>
      <c r="D12" s="18"/>
      <c r="E12" s="18"/>
      <c r="F12" s="243"/>
      <c r="H12" s="16"/>
      <c r="I12" s="18"/>
      <c r="J12" s="18"/>
      <c r="K12" s="18"/>
      <c r="L12" s="18"/>
      <c r="M12" s="243"/>
      <c r="N12" s="245"/>
    </row>
    <row r="13" spans="1:14">
      <c r="A13" s="165" t="s">
        <v>218</v>
      </c>
      <c r="B13" s="238"/>
      <c r="C13" s="18"/>
      <c r="D13" s="18"/>
      <c r="E13" s="18"/>
      <c r="F13" s="243"/>
      <c r="H13" s="165" t="s">
        <v>218</v>
      </c>
      <c r="I13" s="18"/>
      <c r="J13" s="18"/>
      <c r="K13" s="18"/>
      <c r="L13" s="18"/>
      <c r="M13" s="243"/>
      <c r="N13" s="245"/>
    </row>
    <row r="14" spans="1:14">
      <c r="A14" s="16"/>
      <c r="B14" s="238"/>
      <c r="C14" s="18"/>
      <c r="D14" s="18"/>
      <c r="E14" s="18"/>
      <c r="F14" s="243"/>
      <c r="H14" s="16"/>
      <c r="I14" s="18"/>
      <c r="J14" s="18"/>
      <c r="K14" s="18"/>
      <c r="L14" s="18"/>
      <c r="M14" s="243"/>
      <c r="N14" s="245"/>
    </row>
    <row r="15" spans="1:14">
      <c r="A15" s="165" t="s">
        <v>217</v>
      </c>
      <c r="B15" s="238"/>
      <c r="C15" s="18"/>
      <c r="D15" s="18"/>
      <c r="E15" s="18"/>
      <c r="F15" s="243"/>
      <c r="H15" s="165" t="s">
        <v>217</v>
      </c>
      <c r="I15" s="18"/>
      <c r="J15" s="18"/>
      <c r="K15" s="18"/>
      <c r="L15" s="18"/>
      <c r="M15" s="243"/>
      <c r="N15" s="245"/>
    </row>
    <row r="16" spans="1:14">
      <c r="A16" s="19" t="s">
        <v>216</v>
      </c>
      <c r="B16" s="239">
        <v>21545</v>
      </c>
      <c r="C16" s="20">
        <v>21545</v>
      </c>
      <c r="D16" s="20">
        <v>0</v>
      </c>
      <c r="E16" s="20">
        <v>0</v>
      </c>
      <c r="F16" s="245">
        <f t="shared" ref="F16:F22" si="0">C16+D16</f>
        <v>21545</v>
      </c>
      <c r="H16" s="19" t="s">
        <v>216</v>
      </c>
      <c r="I16" s="20">
        <v>12556</v>
      </c>
      <c r="J16" s="20">
        <v>12556</v>
      </c>
      <c r="K16" s="20">
        <v>0</v>
      </c>
      <c r="L16" s="20">
        <v>0</v>
      </c>
      <c r="M16" s="245">
        <f>J16+K16</f>
        <v>12556</v>
      </c>
      <c r="N16" s="245">
        <f t="shared" ref="N16:N22" si="1">ROUND(I16+B16,0)</f>
        <v>34101</v>
      </c>
    </row>
    <row r="17" spans="1:14">
      <c r="A17" s="19" t="s">
        <v>215</v>
      </c>
      <c r="B17" s="239">
        <v>116016</v>
      </c>
      <c r="C17" s="20">
        <v>124593</v>
      </c>
      <c r="D17" s="20">
        <v>0</v>
      </c>
      <c r="E17" s="20">
        <v>-8577</v>
      </c>
      <c r="F17" s="245">
        <f t="shared" si="0"/>
        <v>124593</v>
      </c>
      <c r="H17" s="19" t="s">
        <v>215</v>
      </c>
      <c r="I17" s="20">
        <v>110831</v>
      </c>
      <c r="J17" s="20">
        <v>119408</v>
      </c>
      <c r="K17" s="20">
        <v>0</v>
      </c>
      <c r="L17" s="20">
        <v>-8577</v>
      </c>
      <c r="M17" s="245">
        <f t="shared" ref="M17:M22" si="2">J17+K17</f>
        <v>119408</v>
      </c>
      <c r="N17" s="245">
        <f t="shared" si="1"/>
        <v>226847</v>
      </c>
    </row>
    <row r="18" spans="1:14" ht="22.5">
      <c r="A18" s="22" t="s">
        <v>214</v>
      </c>
      <c r="B18" s="239">
        <v>35914</v>
      </c>
      <c r="C18" s="20">
        <v>43542</v>
      </c>
      <c r="D18" s="20">
        <v>0</v>
      </c>
      <c r="E18" s="20">
        <v>-7629</v>
      </c>
      <c r="F18" s="245">
        <f>C18+D18</f>
        <v>43542</v>
      </c>
      <c r="H18" s="22" t="s">
        <v>214</v>
      </c>
      <c r="I18" s="20">
        <v>35218</v>
      </c>
      <c r="J18" s="20">
        <v>42847</v>
      </c>
      <c r="K18" s="20">
        <v>0</v>
      </c>
      <c r="L18" s="20">
        <v>-7629</v>
      </c>
      <c r="M18" s="245">
        <f t="shared" si="2"/>
        <v>42847</v>
      </c>
      <c r="N18" s="245">
        <f t="shared" si="1"/>
        <v>71132</v>
      </c>
    </row>
    <row r="19" spans="1:14">
      <c r="A19" s="22" t="s">
        <v>213</v>
      </c>
      <c r="B19" s="239">
        <v>991716</v>
      </c>
      <c r="C19" s="20">
        <v>1153774</v>
      </c>
      <c r="D19" s="20">
        <v>0</v>
      </c>
      <c r="E19" s="20">
        <v>-162058</v>
      </c>
      <c r="F19" s="245">
        <f t="shared" si="0"/>
        <v>1153774</v>
      </c>
      <c r="H19" s="22" t="s">
        <v>213</v>
      </c>
      <c r="I19" s="20">
        <v>992067</v>
      </c>
      <c r="J19" s="20">
        <v>1154125</v>
      </c>
      <c r="K19" s="20">
        <v>0</v>
      </c>
      <c r="L19" s="20">
        <v>-162058</v>
      </c>
      <c r="M19" s="245">
        <f t="shared" si="2"/>
        <v>1154125</v>
      </c>
      <c r="N19" s="245">
        <f t="shared" si="1"/>
        <v>1983783</v>
      </c>
    </row>
    <row r="20" spans="1:14">
      <c r="A20" s="22" t="s">
        <v>212</v>
      </c>
      <c r="B20" s="239">
        <v>1245929</v>
      </c>
      <c r="C20" s="20">
        <v>1285094</v>
      </c>
      <c r="D20" s="20">
        <v>0</v>
      </c>
      <c r="E20" s="20">
        <v>-39165</v>
      </c>
      <c r="F20" s="245">
        <f t="shared" si="0"/>
        <v>1285094</v>
      </c>
      <c r="H20" s="22" t="s">
        <v>212</v>
      </c>
      <c r="I20" s="20">
        <v>1243356</v>
      </c>
      <c r="J20" s="20">
        <v>1282520</v>
      </c>
      <c r="K20" s="20">
        <v>0</v>
      </c>
      <c r="L20" s="20">
        <v>-39165</v>
      </c>
      <c r="M20" s="245">
        <f t="shared" si="2"/>
        <v>1282520</v>
      </c>
      <c r="N20" s="245">
        <f t="shared" si="1"/>
        <v>2489285</v>
      </c>
    </row>
    <row r="21" spans="1:14">
      <c r="A21" s="22" t="s">
        <v>211</v>
      </c>
      <c r="B21" s="239">
        <v>206110</v>
      </c>
      <c r="C21" s="20">
        <v>220295</v>
      </c>
      <c r="D21" s="20">
        <v>0</v>
      </c>
      <c r="E21" s="20">
        <v>-14185</v>
      </c>
      <c r="F21" s="245">
        <f t="shared" si="0"/>
        <v>220295</v>
      </c>
      <c r="H21" s="22" t="s">
        <v>211</v>
      </c>
      <c r="I21" s="20">
        <v>204997</v>
      </c>
      <c r="J21" s="20">
        <v>219181</v>
      </c>
      <c r="K21" s="20">
        <v>0</v>
      </c>
      <c r="L21" s="20">
        <v>-14185</v>
      </c>
      <c r="M21" s="245">
        <f t="shared" si="2"/>
        <v>219181</v>
      </c>
      <c r="N21" s="245">
        <f t="shared" si="1"/>
        <v>411107</v>
      </c>
    </row>
    <row r="22" spans="1:14">
      <c r="A22" s="22" t="s">
        <v>210</v>
      </c>
      <c r="B22" s="239">
        <v>186288</v>
      </c>
      <c r="C22" s="20">
        <v>193588</v>
      </c>
      <c r="D22" s="20">
        <v>0</v>
      </c>
      <c r="E22" s="20">
        <v>-7301</v>
      </c>
      <c r="F22" s="245">
        <f t="shared" si="0"/>
        <v>193588</v>
      </c>
      <c r="H22" s="22" t="s">
        <v>210</v>
      </c>
      <c r="I22" s="20">
        <v>186288</v>
      </c>
      <c r="J22" s="20">
        <v>193588</v>
      </c>
      <c r="K22" s="20">
        <v>0</v>
      </c>
      <c r="L22" s="20">
        <v>-7301</v>
      </c>
      <c r="M22" s="245">
        <f t="shared" si="2"/>
        <v>193588</v>
      </c>
      <c r="N22" s="245">
        <f t="shared" si="1"/>
        <v>372576</v>
      </c>
    </row>
    <row r="23" spans="1:14">
      <c r="A23" s="165" t="s">
        <v>209</v>
      </c>
      <c r="B23" s="240">
        <v>2803518</v>
      </c>
      <c r="C23" s="21">
        <v>3042431</v>
      </c>
      <c r="D23" s="21">
        <v>0</v>
      </c>
      <c r="E23" s="21">
        <v>-238913</v>
      </c>
      <c r="F23" s="246">
        <f>SUM(F16:F22)</f>
        <v>3042431</v>
      </c>
      <c r="H23" s="165" t="s">
        <v>209</v>
      </c>
      <c r="I23" s="21">
        <v>2785313</v>
      </c>
      <c r="J23" s="21">
        <v>3024226</v>
      </c>
      <c r="K23" s="21">
        <v>0</v>
      </c>
      <c r="L23" s="21">
        <v>-238913</v>
      </c>
      <c r="M23" s="255">
        <f>SUM(M16:M22)</f>
        <v>3024225</v>
      </c>
      <c r="N23" s="253">
        <f>SUM(N16:N22)</f>
        <v>5588831</v>
      </c>
    </row>
    <row r="24" spans="1:14">
      <c r="A24" s="16"/>
      <c r="B24" s="238"/>
      <c r="C24" s="18"/>
      <c r="D24" s="18"/>
      <c r="E24" s="18"/>
      <c r="F24" s="243"/>
      <c r="H24" s="16"/>
      <c r="I24" s="18"/>
      <c r="J24" s="18"/>
      <c r="K24" s="18"/>
      <c r="L24" s="18"/>
      <c r="M24" s="243"/>
      <c r="N24" s="245"/>
    </row>
    <row r="25" spans="1:14">
      <c r="A25" s="165" t="s">
        <v>67</v>
      </c>
      <c r="B25" s="238"/>
      <c r="C25" s="18"/>
      <c r="D25" s="18"/>
      <c r="E25" s="18"/>
      <c r="F25" s="243"/>
      <c r="H25" s="165" t="s">
        <v>67</v>
      </c>
      <c r="I25" s="18"/>
      <c r="J25" s="18"/>
      <c r="K25" s="18"/>
      <c r="L25" s="18"/>
      <c r="M25" s="243"/>
      <c r="N25" s="245"/>
    </row>
    <row r="26" spans="1:14">
      <c r="A26" s="19" t="s">
        <v>208</v>
      </c>
      <c r="B26" s="239">
        <v>31848</v>
      </c>
      <c r="C26" s="20">
        <v>33221</v>
      </c>
      <c r="D26" s="20">
        <v>0</v>
      </c>
      <c r="E26" s="20">
        <v>-1373</v>
      </c>
      <c r="F26" s="245">
        <f t="shared" ref="F26:F33" si="3">C26+D26</f>
        <v>33221</v>
      </c>
      <c r="H26" s="19" t="s">
        <v>208</v>
      </c>
      <c r="I26" s="20">
        <v>31734</v>
      </c>
      <c r="J26" s="20">
        <v>33107</v>
      </c>
      <c r="K26" s="20">
        <v>0</v>
      </c>
      <c r="L26" s="20">
        <v>-1373</v>
      </c>
      <c r="M26" s="245">
        <f t="shared" ref="M26:M33" si="4">J26+K26</f>
        <v>33107</v>
      </c>
      <c r="N26" s="245">
        <f t="shared" ref="N26:N33" si="5">ROUND(I26+B26,0)</f>
        <v>63582</v>
      </c>
    </row>
    <row r="27" spans="1:14">
      <c r="A27" s="19" t="s">
        <v>207</v>
      </c>
      <c r="B27" s="239">
        <v>25034</v>
      </c>
      <c r="C27" s="20">
        <v>25359</v>
      </c>
      <c r="D27" s="20">
        <v>0</v>
      </c>
      <c r="E27" s="20">
        <v>-325</v>
      </c>
      <c r="F27" s="245">
        <f t="shared" si="3"/>
        <v>25359</v>
      </c>
      <c r="H27" s="19" t="s">
        <v>207</v>
      </c>
      <c r="I27" s="20">
        <v>20463</v>
      </c>
      <c r="J27" s="20">
        <v>20787</v>
      </c>
      <c r="K27" s="20">
        <v>0</v>
      </c>
      <c r="L27" s="20">
        <v>-325</v>
      </c>
      <c r="M27" s="245">
        <f t="shared" si="4"/>
        <v>20787</v>
      </c>
      <c r="N27" s="245">
        <f t="shared" si="5"/>
        <v>45497</v>
      </c>
    </row>
    <row r="28" spans="1:14">
      <c r="A28" s="19" t="s">
        <v>206</v>
      </c>
      <c r="B28" s="239">
        <v>256126</v>
      </c>
      <c r="C28" s="20">
        <v>306350</v>
      </c>
      <c r="D28" s="20">
        <v>0</v>
      </c>
      <c r="E28" s="20">
        <v>-50225</v>
      </c>
      <c r="F28" s="245">
        <f t="shared" si="3"/>
        <v>306350</v>
      </c>
      <c r="H28" s="19" t="s">
        <v>206</v>
      </c>
      <c r="I28" s="20">
        <v>253253</v>
      </c>
      <c r="J28" s="20">
        <v>303478</v>
      </c>
      <c r="K28" s="20">
        <v>0</v>
      </c>
      <c r="L28" s="20">
        <v>-50225</v>
      </c>
      <c r="M28" s="245">
        <f t="shared" si="4"/>
        <v>303478</v>
      </c>
      <c r="N28" s="245">
        <f t="shared" si="5"/>
        <v>509379</v>
      </c>
    </row>
    <row r="29" spans="1:14">
      <c r="A29" s="19" t="s">
        <v>205</v>
      </c>
      <c r="B29" s="239">
        <v>912</v>
      </c>
      <c r="C29" s="20">
        <v>-742</v>
      </c>
      <c r="D29" s="20">
        <v>0</v>
      </c>
      <c r="E29" s="20">
        <v>1653</v>
      </c>
      <c r="F29" s="245">
        <f t="shared" si="3"/>
        <v>-742</v>
      </c>
      <c r="H29" s="19" t="s">
        <v>205</v>
      </c>
      <c r="I29" s="20">
        <v>912</v>
      </c>
      <c r="J29" s="20">
        <v>-742</v>
      </c>
      <c r="K29" s="20">
        <v>0</v>
      </c>
      <c r="L29" s="20">
        <v>1653</v>
      </c>
      <c r="M29" s="245">
        <f t="shared" si="4"/>
        <v>-742</v>
      </c>
      <c r="N29" s="245">
        <f t="shared" si="5"/>
        <v>1824</v>
      </c>
    </row>
    <row r="30" spans="1:14">
      <c r="A30" s="19" t="s">
        <v>204</v>
      </c>
      <c r="B30" s="239">
        <v>631332</v>
      </c>
      <c r="C30" s="20">
        <v>671687</v>
      </c>
      <c r="D30" s="20">
        <v>0</v>
      </c>
      <c r="E30" s="20">
        <v>-40355</v>
      </c>
      <c r="F30" s="245">
        <f t="shared" si="3"/>
        <v>671687</v>
      </c>
      <c r="H30" s="19" t="s">
        <v>204</v>
      </c>
      <c r="I30" s="20">
        <v>624665</v>
      </c>
      <c r="J30" s="20">
        <v>665020</v>
      </c>
      <c r="K30" s="20">
        <v>0</v>
      </c>
      <c r="L30" s="20">
        <v>-40355</v>
      </c>
      <c r="M30" s="245">
        <f t="shared" si="4"/>
        <v>665020</v>
      </c>
      <c r="N30" s="245">
        <f t="shared" si="5"/>
        <v>1255997</v>
      </c>
    </row>
    <row r="31" spans="1:14">
      <c r="A31" s="19" t="s">
        <v>203</v>
      </c>
      <c r="B31" s="239">
        <v>274415</v>
      </c>
      <c r="C31" s="20">
        <v>303232</v>
      </c>
      <c r="D31" s="20">
        <v>0</v>
      </c>
      <c r="E31" s="20">
        <v>-28818</v>
      </c>
      <c r="F31" s="245">
        <f t="shared" si="3"/>
        <v>303232</v>
      </c>
      <c r="H31" s="19" t="s">
        <v>203</v>
      </c>
      <c r="I31" s="20">
        <v>223744</v>
      </c>
      <c r="J31" s="20">
        <v>252562</v>
      </c>
      <c r="K31" s="20">
        <v>0</v>
      </c>
      <c r="L31" s="20">
        <v>-28818</v>
      </c>
      <c r="M31" s="245">
        <f t="shared" si="4"/>
        <v>252562</v>
      </c>
      <c r="N31" s="245">
        <f t="shared" si="5"/>
        <v>498159</v>
      </c>
    </row>
    <row r="32" spans="1:14">
      <c r="A32" s="19" t="s">
        <v>433</v>
      </c>
      <c r="B32" s="239">
        <v>282</v>
      </c>
      <c r="C32" s="20">
        <v>282</v>
      </c>
      <c r="D32" s="20">
        <v>0</v>
      </c>
      <c r="E32" s="20">
        <v>0</v>
      </c>
      <c r="F32" s="245">
        <f t="shared" si="3"/>
        <v>282</v>
      </c>
      <c r="H32" s="19" t="s">
        <v>433</v>
      </c>
      <c r="I32" s="20">
        <v>282</v>
      </c>
      <c r="J32" s="20">
        <v>282</v>
      </c>
      <c r="K32" s="20">
        <v>0</v>
      </c>
      <c r="L32" s="20">
        <v>0</v>
      </c>
      <c r="M32" s="245">
        <f t="shared" si="4"/>
        <v>282</v>
      </c>
      <c r="N32" s="245">
        <f t="shared" si="5"/>
        <v>564</v>
      </c>
    </row>
    <row r="33" spans="1:14" ht="15.75" customHeight="1">
      <c r="A33" s="19" t="s">
        <v>202</v>
      </c>
      <c r="B33" s="239">
        <v>858</v>
      </c>
      <c r="C33" s="20">
        <v>1154</v>
      </c>
      <c r="D33" s="20">
        <v>0</v>
      </c>
      <c r="E33" s="20">
        <v>-296</v>
      </c>
      <c r="F33" s="245">
        <f t="shared" si="3"/>
        <v>1154</v>
      </c>
      <c r="H33" s="19" t="s">
        <v>202</v>
      </c>
      <c r="I33" s="20">
        <v>858</v>
      </c>
      <c r="J33" s="20">
        <v>1154</v>
      </c>
      <c r="K33" s="20">
        <v>0</v>
      </c>
      <c r="L33" s="20">
        <v>-296</v>
      </c>
      <c r="M33" s="245">
        <f t="shared" si="4"/>
        <v>1154</v>
      </c>
      <c r="N33" s="245">
        <f t="shared" si="5"/>
        <v>1716</v>
      </c>
    </row>
    <row r="34" spans="1:14">
      <c r="A34" s="165" t="s">
        <v>201</v>
      </c>
      <c r="B34" s="240">
        <v>1220805</v>
      </c>
      <c r="C34" s="21">
        <v>1340543</v>
      </c>
      <c r="D34" s="21">
        <v>0</v>
      </c>
      <c r="E34" s="21">
        <v>-119738</v>
      </c>
      <c r="F34" s="246">
        <f>SUM(F26:F33)</f>
        <v>1340543</v>
      </c>
      <c r="H34" s="165" t="s">
        <v>201</v>
      </c>
      <c r="I34" s="21">
        <v>1155909</v>
      </c>
      <c r="J34" s="21">
        <v>1275647</v>
      </c>
      <c r="K34" s="21">
        <v>0</v>
      </c>
      <c r="L34" s="21">
        <v>-119738</v>
      </c>
      <c r="M34" s="255">
        <f>SUM(M26:M33)</f>
        <v>1275648</v>
      </c>
      <c r="N34" s="253">
        <f>SUM(N26:N33)</f>
        <v>2376718</v>
      </c>
    </row>
    <row r="35" spans="1:14">
      <c r="A35" s="224"/>
      <c r="B35" s="241"/>
      <c r="C35" s="18"/>
      <c r="D35" s="18"/>
      <c r="E35" s="18"/>
      <c r="F35" s="243"/>
      <c r="H35" s="16"/>
      <c r="I35" s="18"/>
      <c r="J35" s="18"/>
      <c r="K35" s="18"/>
      <c r="L35" s="18"/>
      <c r="M35" s="243"/>
      <c r="N35" s="245"/>
    </row>
    <row r="36" spans="1:14">
      <c r="A36" s="165" t="s">
        <v>68</v>
      </c>
      <c r="B36" s="238"/>
      <c r="C36" s="18"/>
      <c r="D36" s="18"/>
      <c r="E36" s="18"/>
      <c r="F36" s="243"/>
      <c r="H36" s="165" t="s">
        <v>68</v>
      </c>
      <c r="I36" s="18"/>
      <c r="J36" s="18"/>
      <c r="K36" s="18"/>
      <c r="L36" s="18"/>
      <c r="M36" s="243"/>
      <c r="N36" s="245"/>
    </row>
    <row r="37" spans="1:14">
      <c r="A37" s="19" t="s">
        <v>200</v>
      </c>
      <c r="B37" s="239">
        <v>2008</v>
      </c>
      <c r="C37" s="20">
        <v>2242</v>
      </c>
      <c r="D37" s="20">
        <v>0</v>
      </c>
      <c r="E37" s="20">
        <v>-234</v>
      </c>
      <c r="F37" s="245">
        <f t="shared" ref="F37:F47" si="6">C37+D37</f>
        <v>2242</v>
      </c>
      <c r="H37" s="19" t="s">
        <v>200</v>
      </c>
      <c r="I37" s="20">
        <v>2009</v>
      </c>
      <c r="J37" s="20">
        <v>2243</v>
      </c>
      <c r="K37" s="20">
        <v>0</v>
      </c>
      <c r="L37" s="20">
        <v>-234</v>
      </c>
      <c r="M37" s="245">
        <f t="shared" ref="M37:M47" si="7">J37+K37</f>
        <v>2243</v>
      </c>
      <c r="N37" s="245">
        <f t="shared" ref="N37:N47" si="8">ROUND(I37+B37,0)</f>
        <v>4017</v>
      </c>
    </row>
    <row r="38" spans="1:14">
      <c r="A38" s="19" t="s">
        <v>199</v>
      </c>
      <c r="B38" s="239">
        <v>98145</v>
      </c>
      <c r="C38" s="20">
        <v>109391</v>
      </c>
      <c r="D38" s="20">
        <v>0</v>
      </c>
      <c r="E38" s="20">
        <v>-11246</v>
      </c>
      <c r="F38" s="245">
        <f t="shared" si="6"/>
        <v>109391</v>
      </c>
      <c r="H38" s="19" t="s">
        <v>199</v>
      </c>
      <c r="I38" s="20">
        <v>88630</v>
      </c>
      <c r="J38" s="20">
        <v>99876</v>
      </c>
      <c r="K38" s="20">
        <v>0</v>
      </c>
      <c r="L38" s="20">
        <v>-11246</v>
      </c>
      <c r="M38" s="245">
        <f t="shared" si="7"/>
        <v>99876</v>
      </c>
      <c r="N38" s="245">
        <f t="shared" si="8"/>
        <v>186775</v>
      </c>
    </row>
    <row r="39" spans="1:14">
      <c r="A39" s="19" t="s">
        <v>198</v>
      </c>
      <c r="B39" s="239">
        <v>702148</v>
      </c>
      <c r="C39" s="20">
        <v>771137</v>
      </c>
      <c r="D39" s="20">
        <v>0</v>
      </c>
      <c r="E39" s="20">
        <v>-68989</v>
      </c>
      <c r="F39" s="245">
        <f t="shared" si="6"/>
        <v>771137</v>
      </c>
      <c r="H39" s="19" t="s">
        <v>198</v>
      </c>
      <c r="I39" s="20">
        <v>723322</v>
      </c>
      <c r="J39" s="20">
        <v>792311</v>
      </c>
      <c r="K39" s="20">
        <v>0</v>
      </c>
      <c r="L39" s="20">
        <v>-68989</v>
      </c>
      <c r="M39" s="245">
        <f t="shared" si="7"/>
        <v>792311</v>
      </c>
      <c r="N39" s="245">
        <f t="shared" si="8"/>
        <v>1425470</v>
      </c>
    </row>
    <row r="40" spans="1:14">
      <c r="A40" s="19" t="s">
        <v>197</v>
      </c>
      <c r="B40" s="239">
        <v>390573</v>
      </c>
      <c r="C40" s="20">
        <v>492524</v>
      </c>
      <c r="D40" s="20">
        <v>0</v>
      </c>
      <c r="E40" s="20">
        <v>-101951</v>
      </c>
      <c r="F40" s="245">
        <f t="shared" si="6"/>
        <v>492524</v>
      </c>
      <c r="H40" s="19" t="s">
        <v>197</v>
      </c>
      <c r="I40" s="20">
        <v>385280</v>
      </c>
      <c r="J40" s="20">
        <v>487231</v>
      </c>
      <c r="K40" s="20">
        <v>0</v>
      </c>
      <c r="L40" s="20">
        <v>-101951</v>
      </c>
      <c r="M40" s="245">
        <f t="shared" si="7"/>
        <v>487231</v>
      </c>
      <c r="N40" s="245">
        <f t="shared" si="8"/>
        <v>775853</v>
      </c>
    </row>
    <row r="41" spans="1:14">
      <c r="A41" s="19" t="s">
        <v>196</v>
      </c>
      <c r="B41" s="239">
        <v>462473</v>
      </c>
      <c r="C41" s="20">
        <v>542238</v>
      </c>
      <c r="D41" s="20">
        <v>0</v>
      </c>
      <c r="E41" s="20">
        <v>-79764</v>
      </c>
      <c r="F41" s="245">
        <f t="shared" si="6"/>
        <v>542238</v>
      </c>
      <c r="H41" s="19" t="s">
        <v>196</v>
      </c>
      <c r="I41" s="20">
        <v>456970</v>
      </c>
      <c r="J41" s="20">
        <v>536734</v>
      </c>
      <c r="K41" s="20">
        <v>0</v>
      </c>
      <c r="L41" s="20">
        <v>-79764</v>
      </c>
      <c r="M41" s="245">
        <f t="shared" si="7"/>
        <v>536734</v>
      </c>
      <c r="N41" s="245">
        <f t="shared" si="8"/>
        <v>919443</v>
      </c>
    </row>
    <row r="42" spans="1:14">
      <c r="A42" s="19" t="s">
        <v>195</v>
      </c>
      <c r="B42" s="239">
        <v>151064</v>
      </c>
      <c r="C42" s="20">
        <v>178130</v>
      </c>
      <c r="D42" s="20">
        <v>0</v>
      </c>
      <c r="E42" s="20">
        <v>-27066</v>
      </c>
      <c r="F42" s="245">
        <f t="shared" si="6"/>
        <v>178130</v>
      </c>
      <c r="H42" s="19" t="s">
        <v>195</v>
      </c>
      <c r="I42" s="20">
        <v>148243</v>
      </c>
      <c r="J42" s="20">
        <v>175309</v>
      </c>
      <c r="K42" s="20">
        <v>0</v>
      </c>
      <c r="L42" s="20">
        <v>-27066</v>
      </c>
      <c r="M42" s="245">
        <f t="shared" si="7"/>
        <v>175309</v>
      </c>
      <c r="N42" s="245">
        <f t="shared" si="8"/>
        <v>299307</v>
      </c>
    </row>
    <row r="43" spans="1:14">
      <c r="A43" s="19" t="s">
        <v>194</v>
      </c>
      <c r="B43" s="239">
        <v>357882</v>
      </c>
      <c r="C43" s="20">
        <v>397651</v>
      </c>
      <c r="D43" s="20">
        <v>0</v>
      </c>
      <c r="E43" s="20">
        <v>-39768</v>
      </c>
      <c r="F43" s="245">
        <f t="shared" si="6"/>
        <v>397651</v>
      </c>
      <c r="H43" s="19" t="s">
        <v>194</v>
      </c>
      <c r="I43" s="20">
        <v>352121</v>
      </c>
      <c r="J43" s="20">
        <v>391890</v>
      </c>
      <c r="K43" s="20">
        <v>0</v>
      </c>
      <c r="L43" s="20">
        <v>-39768</v>
      </c>
      <c r="M43" s="245">
        <f t="shared" si="7"/>
        <v>391890</v>
      </c>
      <c r="N43" s="245">
        <f t="shared" si="8"/>
        <v>710003</v>
      </c>
    </row>
    <row r="44" spans="1:14">
      <c r="A44" s="19" t="s">
        <v>193</v>
      </c>
      <c r="B44" s="239">
        <v>832548</v>
      </c>
      <c r="C44" s="20">
        <v>904519</v>
      </c>
      <c r="D44" s="20">
        <v>0</v>
      </c>
      <c r="E44" s="20">
        <v>-71971</v>
      </c>
      <c r="F44" s="245">
        <f t="shared" si="6"/>
        <v>904519</v>
      </c>
      <c r="H44" s="19" t="s">
        <v>193</v>
      </c>
      <c r="I44" s="20">
        <v>818530</v>
      </c>
      <c r="J44" s="20">
        <v>890501</v>
      </c>
      <c r="K44" s="20">
        <v>0</v>
      </c>
      <c r="L44" s="20">
        <v>-71971</v>
      </c>
      <c r="M44" s="245">
        <f t="shared" si="7"/>
        <v>890501</v>
      </c>
      <c r="N44" s="245">
        <f t="shared" si="8"/>
        <v>1651078</v>
      </c>
    </row>
    <row r="45" spans="1:14">
      <c r="A45" s="19" t="s">
        <v>192</v>
      </c>
      <c r="B45" s="239">
        <v>113647</v>
      </c>
      <c r="C45" s="20">
        <v>136420</v>
      </c>
      <c r="D45" s="20">
        <v>0</v>
      </c>
      <c r="E45" s="20">
        <v>-22773</v>
      </c>
      <c r="F45" s="245">
        <f t="shared" si="6"/>
        <v>136420</v>
      </c>
      <c r="H45" s="19" t="s">
        <v>192</v>
      </c>
      <c r="I45" s="20">
        <v>109279</v>
      </c>
      <c r="J45" s="20">
        <v>132052</v>
      </c>
      <c r="K45" s="20">
        <v>0</v>
      </c>
      <c r="L45" s="20">
        <v>-22773</v>
      </c>
      <c r="M45" s="245">
        <f t="shared" si="7"/>
        <v>132052</v>
      </c>
      <c r="N45" s="245">
        <f t="shared" si="8"/>
        <v>222926</v>
      </c>
    </row>
    <row r="46" spans="1:14">
      <c r="A46" s="19" t="s">
        <v>191</v>
      </c>
      <c r="B46" s="239">
        <v>221185</v>
      </c>
      <c r="C46" s="20">
        <v>273210</v>
      </c>
      <c r="D46" s="20">
        <v>0</v>
      </c>
      <c r="E46" s="20">
        <v>-52026</v>
      </c>
      <c r="F46" s="245">
        <f t="shared" si="6"/>
        <v>273210</v>
      </c>
      <c r="H46" s="19" t="s">
        <v>191</v>
      </c>
      <c r="I46" s="20">
        <v>205297</v>
      </c>
      <c r="J46" s="20">
        <v>257323</v>
      </c>
      <c r="K46" s="20">
        <v>0</v>
      </c>
      <c r="L46" s="20">
        <v>-52026</v>
      </c>
      <c r="M46" s="245">
        <f t="shared" si="7"/>
        <v>257323</v>
      </c>
      <c r="N46" s="245">
        <f t="shared" si="8"/>
        <v>426482</v>
      </c>
    </row>
    <row r="47" spans="1:14">
      <c r="A47" s="19" t="s">
        <v>190</v>
      </c>
      <c r="B47" s="239">
        <v>32970</v>
      </c>
      <c r="C47" s="20">
        <v>41483</v>
      </c>
      <c r="D47" s="20">
        <v>0</v>
      </c>
      <c r="E47" s="20">
        <v>-8512</v>
      </c>
      <c r="F47" s="245">
        <f t="shared" si="6"/>
        <v>41483</v>
      </c>
      <c r="H47" s="19" t="s">
        <v>190</v>
      </c>
      <c r="I47" s="20">
        <v>32456</v>
      </c>
      <c r="J47" s="20">
        <v>40968</v>
      </c>
      <c r="K47" s="20">
        <v>0</v>
      </c>
      <c r="L47" s="20">
        <v>-8512</v>
      </c>
      <c r="M47" s="245">
        <f t="shared" si="7"/>
        <v>40968</v>
      </c>
      <c r="N47" s="245">
        <f t="shared" si="8"/>
        <v>65426</v>
      </c>
    </row>
    <row r="48" spans="1:14">
      <c r="A48" s="165" t="s">
        <v>189</v>
      </c>
      <c r="B48" s="240">
        <v>3364643</v>
      </c>
      <c r="C48" s="21">
        <v>3848944</v>
      </c>
      <c r="D48" s="21">
        <v>0</v>
      </c>
      <c r="E48" s="21">
        <v>-484302</v>
      </c>
      <c r="F48" s="246">
        <f>SUM(F37:F47)</f>
        <v>3848945</v>
      </c>
      <c r="H48" s="165" t="s">
        <v>189</v>
      </c>
      <c r="I48" s="21">
        <v>3322136</v>
      </c>
      <c r="J48" s="21">
        <v>3806438</v>
      </c>
      <c r="K48" s="21">
        <v>0</v>
      </c>
      <c r="L48" s="21">
        <v>-484302</v>
      </c>
      <c r="M48" s="255">
        <f>SUM(M37:M47)</f>
        <v>3806438</v>
      </c>
      <c r="N48" s="253">
        <f>SUM(N37:N47)</f>
        <v>6686780</v>
      </c>
    </row>
    <row r="49" spans="1:15">
      <c r="A49" s="16"/>
      <c r="B49" s="238"/>
      <c r="C49" s="18"/>
      <c r="D49" s="18"/>
      <c r="E49" s="18"/>
      <c r="F49" s="243"/>
      <c r="H49" s="16"/>
      <c r="I49" s="18"/>
      <c r="J49" s="18"/>
      <c r="K49" s="18"/>
      <c r="L49" s="18"/>
      <c r="M49" s="243"/>
      <c r="N49" s="245"/>
    </row>
    <row r="50" spans="1:15">
      <c r="A50" s="165" t="s">
        <v>188</v>
      </c>
      <c r="B50" s="238"/>
      <c r="C50" s="18"/>
      <c r="D50" s="18"/>
      <c r="E50" s="18"/>
      <c r="F50" s="243"/>
      <c r="H50" s="165" t="s">
        <v>188</v>
      </c>
      <c r="I50" s="18"/>
      <c r="J50" s="18"/>
      <c r="K50" s="18"/>
      <c r="L50" s="18"/>
      <c r="M50" s="243"/>
      <c r="N50" s="245"/>
    </row>
    <row r="51" spans="1:15">
      <c r="A51" s="19" t="s">
        <v>187</v>
      </c>
      <c r="B51" s="239">
        <v>6177</v>
      </c>
      <c r="C51" s="20">
        <v>13624</v>
      </c>
      <c r="D51" s="20">
        <v>0</v>
      </c>
      <c r="E51" s="20">
        <v>-7447</v>
      </c>
      <c r="F51" s="245">
        <f t="shared" ref="F51:F62" si="9">C51+D51</f>
        <v>13624</v>
      </c>
      <c r="H51" s="19" t="s">
        <v>187</v>
      </c>
      <c r="I51" s="20">
        <v>6123</v>
      </c>
      <c r="J51" s="20">
        <v>13570</v>
      </c>
      <c r="K51" s="20">
        <v>0</v>
      </c>
      <c r="L51" s="20">
        <v>-7447</v>
      </c>
      <c r="M51" s="245">
        <f t="shared" ref="M51:M59" si="10">J51+K51</f>
        <v>13570</v>
      </c>
      <c r="N51" s="245">
        <f t="shared" ref="N51:N59" si="11">ROUND(I51+B51,0)</f>
        <v>12300</v>
      </c>
    </row>
    <row r="52" spans="1:15">
      <c r="A52" s="19" t="s">
        <v>186</v>
      </c>
      <c r="B52" s="239">
        <v>292046</v>
      </c>
      <c r="C52" s="20">
        <v>292046</v>
      </c>
      <c r="D52" s="20">
        <v>0</v>
      </c>
      <c r="E52" s="20">
        <v>0</v>
      </c>
      <c r="F52" s="245">
        <f t="shared" si="9"/>
        <v>292046</v>
      </c>
      <c r="H52" s="19" t="s">
        <v>186</v>
      </c>
      <c r="I52" s="20">
        <v>289939</v>
      </c>
      <c r="J52" s="20">
        <v>289939</v>
      </c>
      <c r="K52" s="20">
        <v>0</v>
      </c>
      <c r="L52" s="20">
        <v>0</v>
      </c>
      <c r="M52" s="245">
        <f t="shared" si="10"/>
        <v>289939</v>
      </c>
      <c r="N52" s="245">
        <f t="shared" si="11"/>
        <v>581985</v>
      </c>
    </row>
    <row r="53" spans="1:15">
      <c r="A53" s="19" t="s">
        <v>185</v>
      </c>
      <c r="B53" s="239">
        <v>354</v>
      </c>
      <c r="C53" s="20">
        <v>354</v>
      </c>
      <c r="D53" s="20">
        <v>0</v>
      </c>
      <c r="E53" s="20">
        <v>0</v>
      </c>
      <c r="F53" s="245">
        <f t="shared" si="9"/>
        <v>354</v>
      </c>
      <c r="H53" s="19" t="s">
        <v>185</v>
      </c>
      <c r="I53" s="20">
        <v>337</v>
      </c>
      <c r="J53" s="20">
        <v>337</v>
      </c>
      <c r="K53" s="20">
        <v>0</v>
      </c>
      <c r="L53" s="20">
        <v>0</v>
      </c>
      <c r="M53" s="245">
        <f t="shared" si="10"/>
        <v>337</v>
      </c>
      <c r="N53" s="245">
        <f t="shared" si="11"/>
        <v>691</v>
      </c>
    </row>
    <row r="54" spans="1:15">
      <c r="A54" s="19" t="s">
        <v>184</v>
      </c>
      <c r="B54" s="239">
        <v>2180</v>
      </c>
      <c r="C54" s="20">
        <v>3572</v>
      </c>
      <c r="D54" s="20">
        <v>0</v>
      </c>
      <c r="E54" s="20">
        <v>-1393</v>
      </c>
      <c r="F54" s="245">
        <f t="shared" si="9"/>
        <v>3572</v>
      </c>
      <c r="H54" s="19" t="s">
        <v>184</v>
      </c>
      <c r="I54" s="20">
        <v>2186</v>
      </c>
      <c r="J54" s="20">
        <v>3579</v>
      </c>
      <c r="K54" s="20">
        <v>0</v>
      </c>
      <c r="L54" s="20">
        <v>-1393</v>
      </c>
      <c r="M54" s="245">
        <f t="shared" si="10"/>
        <v>3579</v>
      </c>
      <c r="N54" s="245">
        <f t="shared" si="11"/>
        <v>4366</v>
      </c>
    </row>
    <row r="55" spans="1:15">
      <c r="A55" s="19" t="s">
        <v>183</v>
      </c>
      <c r="B55" s="239">
        <v>36525</v>
      </c>
      <c r="C55" s="20">
        <v>65177</v>
      </c>
      <c r="D55" s="20">
        <v>0</v>
      </c>
      <c r="E55" s="20">
        <v>-28652</v>
      </c>
      <c r="F55" s="245">
        <f t="shared" si="9"/>
        <v>65177</v>
      </c>
      <c r="H55" s="19" t="s">
        <v>183</v>
      </c>
      <c r="I55" s="20">
        <v>34768</v>
      </c>
      <c r="J55" s="20">
        <v>63420</v>
      </c>
      <c r="K55" s="20">
        <v>0</v>
      </c>
      <c r="L55" s="20">
        <v>-28652</v>
      </c>
      <c r="M55" s="245">
        <f t="shared" si="10"/>
        <v>63420</v>
      </c>
      <c r="N55" s="245">
        <f t="shared" si="11"/>
        <v>71293</v>
      </c>
    </row>
    <row r="56" spans="1:15">
      <c r="A56" s="19" t="s">
        <v>182</v>
      </c>
      <c r="B56" s="239">
        <v>10197</v>
      </c>
      <c r="C56" s="20">
        <v>22265</v>
      </c>
      <c r="D56" s="20">
        <v>0</v>
      </c>
      <c r="E56" s="20">
        <v>-12069</v>
      </c>
      <c r="F56" s="245">
        <f t="shared" si="9"/>
        <v>22265</v>
      </c>
      <c r="H56" s="19" t="s">
        <v>182</v>
      </c>
      <c r="I56" s="20">
        <v>11566</v>
      </c>
      <c r="J56" s="20">
        <v>23635</v>
      </c>
      <c r="K56" s="20">
        <v>0</v>
      </c>
      <c r="L56" s="20">
        <v>-12069</v>
      </c>
      <c r="M56" s="245">
        <f t="shared" si="10"/>
        <v>23635</v>
      </c>
      <c r="N56" s="245">
        <f t="shared" si="11"/>
        <v>21763</v>
      </c>
    </row>
    <row r="57" spans="1:15">
      <c r="A57" s="19" t="s">
        <v>181</v>
      </c>
      <c r="B57" s="239">
        <v>221128</v>
      </c>
      <c r="C57" s="20">
        <v>222105</v>
      </c>
      <c r="D57" s="20">
        <v>0</v>
      </c>
      <c r="E57" s="20">
        <v>-978</v>
      </c>
      <c r="F57" s="245">
        <f t="shared" si="9"/>
        <v>222105</v>
      </c>
      <c r="H57" s="19" t="s">
        <v>181</v>
      </c>
      <c r="I57" s="20">
        <v>218353</v>
      </c>
      <c r="J57" s="20">
        <v>222979</v>
      </c>
      <c r="K57" s="20">
        <v>0</v>
      </c>
      <c r="L57" s="20">
        <v>-4626</v>
      </c>
      <c r="M57" s="245">
        <f t="shared" si="10"/>
        <v>222979</v>
      </c>
      <c r="N57" s="245">
        <f t="shared" si="11"/>
        <v>439481</v>
      </c>
    </row>
    <row r="58" spans="1:15">
      <c r="A58" s="19" t="s">
        <v>180</v>
      </c>
      <c r="B58" s="239">
        <v>737491</v>
      </c>
      <c r="C58" s="20">
        <v>752293</v>
      </c>
      <c r="D58" s="20">
        <v>0</v>
      </c>
      <c r="E58" s="20">
        <v>-14803</v>
      </c>
      <c r="F58" s="245">
        <f t="shared" si="9"/>
        <v>752293</v>
      </c>
      <c r="H58" s="19" t="s">
        <v>180</v>
      </c>
      <c r="I58" s="20">
        <v>702649</v>
      </c>
      <c r="J58" s="20">
        <v>717451</v>
      </c>
      <c r="K58" s="20">
        <v>0</v>
      </c>
      <c r="L58" s="20">
        <v>-14803</v>
      </c>
      <c r="M58" s="245">
        <f t="shared" si="10"/>
        <v>717451</v>
      </c>
      <c r="N58" s="245">
        <f t="shared" si="11"/>
        <v>1440140</v>
      </c>
    </row>
    <row r="59" spans="1:15">
      <c r="A59" s="19" t="s">
        <v>179</v>
      </c>
      <c r="B59" s="239">
        <v>9461</v>
      </c>
      <c r="C59" s="20">
        <v>9461</v>
      </c>
      <c r="D59" s="20">
        <v>0</v>
      </c>
      <c r="E59" s="20">
        <v>0</v>
      </c>
      <c r="F59" s="245">
        <f t="shared" si="9"/>
        <v>9461</v>
      </c>
      <c r="H59" s="19" t="s">
        <v>179</v>
      </c>
      <c r="I59" s="20">
        <v>9134</v>
      </c>
      <c r="J59" s="20">
        <v>9134</v>
      </c>
      <c r="K59" s="20">
        <v>0</v>
      </c>
      <c r="L59" s="20">
        <v>0</v>
      </c>
      <c r="M59" s="245">
        <f t="shared" si="10"/>
        <v>9134</v>
      </c>
      <c r="N59" s="245">
        <f t="shared" si="11"/>
        <v>18595</v>
      </c>
    </row>
    <row r="60" spans="1:15">
      <c r="A60" s="165" t="s">
        <v>178</v>
      </c>
      <c r="B60" s="240">
        <v>1315558</v>
      </c>
      <c r="C60" s="21">
        <v>1380899</v>
      </c>
      <c r="D60" s="21">
        <v>0</v>
      </c>
      <c r="E60" s="21">
        <v>-65341</v>
      </c>
      <c r="F60" s="246">
        <f>SUM(F51:F59)</f>
        <v>1380897</v>
      </c>
      <c r="H60" s="165" t="s">
        <v>178</v>
      </c>
      <c r="I60" s="21">
        <v>1275055</v>
      </c>
      <c r="J60" s="21">
        <v>1344044</v>
      </c>
      <c r="K60" s="21">
        <v>0</v>
      </c>
      <c r="L60" s="21">
        <v>-68989</v>
      </c>
      <c r="M60" s="255">
        <f>SUM(M51:M59)</f>
        <v>1344044</v>
      </c>
      <c r="N60" s="253">
        <f>SUM(N51:N59)</f>
        <v>2590614</v>
      </c>
    </row>
    <row r="61" spans="1:15">
      <c r="A61" s="224"/>
      <c r="B61" s="241"/>
      <c r="C61" s="18"/>
      <c r="D61" s="18"/>
      <c r="E61" s="18"/>
      <c r="F61" s="243"/>
      <c r="H61" s="16"/>
      <c r="I61" s="18"/>
      <c r="J61" s="18"/>
      <c r="K61" s="18"/>
      <c r="L61" s="18"/>
      <c r="M61" s="243"/>
      <c r="N61" s="243"/>
    </row>
    <row r="62" spans="1:15">
      <c r="A62" s="225" t="s">
        <v>434</v>
      </c>
      <c r="B62" s="226">
        <v>1649945</v>
      </c>
      <c r="C62" s="226">
        <v>408010</v>
      </c>
      <c r="D62" s="226">
        <v>1241934</v>
      </c>
      <c r="E62" s="226">
        <v>0</v>
      </c>
      <c r="F62" s="247">
        <f t="shared" si="9"/>
        <v>1649944</v>
      </c>
      <c r="G62" s="227" t="s">
        <v>788</v>
      </c>
      <c r="H62" s="225" t="s">
        <v>434</v>
      </c>
      <c r="I62" s="226">
        <v>1923061</v>
      </c>
      <c r="J62" s="226">
        <v>320931</v>
      </c>
      <c r="K62" s="226">
        <v>1602130</v>
      </c>
      <c r="L62" s="226">
        <v>0</v>
      </c>
      <c r="M62" s="247">
        <f>J62+K62</f>
        <v>1923061</v>
      </c>
      <c r="N62" s="242">
        <f>I62+B62</f>
        <v>3573006</v>
      </c>
      <c r="O62" s="227" t="s">
        <v>788</v>
      </c>
    </row>
    <row r="63" spans="1:15">
      <c r="A63" s="16"/>
      <c r="B63" s="238"/>
      <c r="C63" s="18"/>
      <c r="D63" s="18"/>
      <c r="E63" s="18"/>
      <c r="F63" s="243"/>
      <c r="H63" s="16"/>
      <c r="I63" s="18"/>
      <c r="J63" s="18"/>
      <c r="K63" s="18"/>
      <c r="L63" s="18"/>
      <c r="M63" s="243"/>
      <c r="N63" s="243"/>
    </row>
    <row r="64" spans="1:15">
      <c r="A64" s="165" t="s">
        <v>177</v>
      </c>
      <c r="B64" s="240">
        <v>10507655</v>
      </c>
      <c r="C64" s="21">
        <v>10020828</v>
      </c>
      <c r="D64" s="21">
        <v>1467758</v>
      </c>
      <c r="E64" s="21">
        <v>-980931</v>
      </c>
      <c r="F64" s="245">
        <f>C64+D64</f>
        <v>11488586</v>
      </c>
      <c r="G64" s="233"/>
      <c r="H64" s="165" t="s">
        <v>177</v>
      </c>
      <c r="I64" s="21">
        <v>10615380</v>
      </c>
      <c r="J64" s="21">
        <v>9771287</v>
      </c>
      <c r="K64" s="21">
        <v>1828673</v>
      </c>
      <c r="L64" s="21">
        <v>-984579</v>
      </c>
      <c r="M64" s="245"/>
      <c r="N64" s="245"/>
    </row>
    <row r="65" spans="1:14" ht="15.75" thickBot="1">
      <c r="A65" s="224"/>
      <c r="B65" s="228"/>
      <c r="C65" s="228"/>
      <c r="D65" s="18"/>
      <c r="E65" s="18"/>
      <c r="F65" s="248">
        <f>F60+F48+F34+F23+F11</f>
        <v>9838640</v>
      </c>
      <c r="G65" s="158"/>
      <c r="H65" s="16"/>
      <c r="I65" s="18"/>
      <c r="J65" s="18"/>
      <c r="K65" s="18"/>
      <c r="L65" s="18"/>
      <c r="M65" s="256">
        <f>M60+M48+M34+M23+M11</f>
        <v>9676898</v>
      </c>
      <c r="N65" s="254">
        <f>N60+N48+N34+N23+N11</f>
        <v>17550034</v>
      </c>
    </row>
    <row r="66" spans="1:14" ht="15" customHeight="1" thickTop="1">
      <c r="A66" s="719" t="s">
        <v>176</v>
      </c>
      <c r="B66" s="719"/>
      <c r="C66" s="719"/>
      <c r="D66" s="719"/>
      <c r="E66" s="719"/>
      <c r="F66" s="719"/>
      <c r="H66" s="719"/>
      <c r="I66" s="719"/>
      <c r="J66" s="719"/>
      <c r="K66" s="719"/>
      <c r="L66" s="719"/>
      <c r="N66" s="257" t="s">
        <v>41</v>
      </c>
    </row>
    <row r="67" spans="1:14">
      <c r="A67" s="719"/>
      <c r="B67" s="719"/>
      <c r="C67" s="719"/>
      <c r="D67" s="719"/>
      <c r="E67" s="719"/>
      <c r="F67" s="719"/>
      <c r="N67" s="233"/>
    </row>
    <row r="68" spans="1:14">
      <c r="N68" s="233"/>
    </row>
    <row r="71" spans="1:14" s="23" customFormat="1" ht="27" customHeight="1">
      <c r="A71"/>
      <c r="B71"/>
      <c r="C71"/>
      <c r="D71"/>
      <c r="E71"/>
      <c r="H71"/>
      <c r="I71"/>
      <c r="J71"/>
      <c r="K71"/>
      <c r="L71"/>
    </row>
  </sheetData>
  <mergeCells count="10">
    <mergeCell ref="H2:L2"/>
    <mergeCell ref="H3:L3"/>
    <mergeCell ref="H4:L4"/>
    <mergeCell ref="H5:L5"/>
    <mergeCell ref="H66:L66"/>
    <mergeCell ref="A2:E2"/>
    <mergeCell ref="A3:E3"/>
    <mergeCell ref="A4:E4"/>
    <mergeCell ref="A5:E5"/>
    <mergeCell ref="A66:F67"/>
  </mergeCells>
  <pageMargins left="0.7" right="0.7" top="0.75" bottom="0.75" header="0.3" footer="0.3"/>
  <pageSetup scale="47" orientation="landscape" r:id="rId1"/>
  <headerFooter>
    <oddFooter>&amp;R&amp;14 &amp;KFF00005</oddFooter>
  </headerFooter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32</vt:i4>
      </vt:variant>
    </vt:vector>
  </HeadingPairs>
  <TitlesOfParts>
    <vt:vector size="56" baseType="lpstr">
      <vt:lpstr>Pro Forma</vt:lpstr>
      <vt:lpstr>Pro Forma Adjustment w formulas</vt:lpstr>
      <vt:lpstr>Lead Schedule</vt:lpstr>
      <vt:lpstr>1. BI Page 204-207</vt:lpstr>
      <vt:lpstr>9  Manual Entries</vt:lpstr>
      <vt:lpstr>2 - Acq Adjustments</vt:lpstr>
      <vt:lpstr>2. Post Test Year_Pivot</vt:lpstr>
      <vt:lpstr>6.1 San Juan Closure Detail</vt:lpstr>
      <vt:lpstr>4. Depreciation Actuals Detai 1</vt:lpstr>
      <vt:lpstr>3. Depreciation Expense Dtl</vt:lpstr>
      <vt:lpstr>4. New Depr Rates</vt:lpstr>
      <vt:lpstr>5.1 G1389RW Rate</vt:lpstr>
      <vt:lpstr>5. Fortis Merger Proforma</vt:lpstr>
      <vt:lpstr>6. BuildOut Plant Proforma</vt:lpstr>
      <vt:lpstr>6.1 A5-01 Build Out PIS AD 2026</vt:lpstr>
      <vt:lpstr>7. GoldenValley Pipeline Profor</vt:lpstr>
      <vt:lpstr>8. Griffith Plant Proforma</vt:lpstr>
      <vt:lpstr>9. Retirements</vt:lpstr>
      <vt:lpstr>10. Var Review_Actual Rate Chg</vt:lpstr>
      <vt:lpstr>Acq Adjustment Depr</vt:lpstr>
      <vt:lpstr>Acq Adj - DEPR RATES</vt:lpstr>
      <vt:lpstr>2. UNS 106 Proforma Adj Query</vt:lpstr>
      <vt:lpstr>Sheet1</vt:lpstr>
      <vt:lpstr>dg</vt:lpstr>
      <vt:lpstr>'3. Depreciation Expense Dtl'!DepreciationExpenseDetailGas_Export1</vt:lpstr>
      <vt:lpstr>'3. Depreciation Expense Dtl'!DepreciationExpenseDetailGas_Export1_Header</vt:lpstr>
      <vt:lpstr>'3. Depreciation Expense Dtl'!DepreciationExpenseDetailGas_Export1_Header_CenterLabel1</vt:lpstr>
      <vt:lpstr>'3. Depreciation Expense Dtl'!DepreciationExpenseDetailGas_Export1_Header_CenterLabel2</vt:lpstr>
      <vt:lpstr>'3. Depreciation Expense Dtl'!DepreciationExpenseDetailGas_Export1_Header_CenterLabel3</vt:lpstr>
      <vt:lpstr>'3. Depreciation Expense Dtl'!DepreciationExpenseDetailGas_Export1_Header_LeftLabel1</vt:lpstr>
      <vt:lpstr>'3. Depreciation Expense Dtl'!DepreciationExpenseDetailGas_Export1_Header_LeftLabel2</vt:lpstr>
      <vt:lpstr>'3. Depreciation Expense Dtl'!DepreciationExpenseDetailGas_Export1_Header_LeftLabel3</vt:lpstr>
      <vt:lpstr>'3. Depreciation Expense Dtl'!DepreciationExpenseDetailGas_Export1_Header_RightLabel1</vt:lpstr>
      <vt:lpstr>'3. Depreciation Expense Dtl'!DepreciationExpenseDetailGas_Export1_Header_RightLabel2</vt:lpstr>
      <vt:lpstr>'3. Depreciation Expense Dtl'!DepreciationExpenseDetailGas_Export1_Header_RightLabel3</vt:lpstr>
      <vt:lpstr>'3. Depreciation Expense Dtl'!DepreciationExpenseDetailGas_Export1_Header_Title</vt:lpstr>
      <vt:lpstr>'3. Depreciation Expense Dtl'!DepreciationExpenseDetailGas_Export1_Main</vt:lpstr>
      <vt:lpstr>'2 - Acq Adjustments'!Print_Area</vt:lpstr>
      <vt:lpstr>'2. Post Test Year_Pivot'!Print_Area</vt:lpstr>
      <vt:lpstr>'2. UNS 106 Proforma Adj Query'!Print_Area</vt:lpstr>
      <vt:lpstr>'3. Depreciation Expense Dtl'!Print_Area</vt:lpstr>
      <vt:lpstr>'4. Depreciation Actuals Detai 1'!Print_Area</vt:lpstr>
      <vt:lpstr>'4. New Depr Rates'!Print_Area</vt:lpstr>
      <vt:lpstr>'5. Fortis Merger Proforma'!Print_Area</vt:lpstr>
      <vt:lpstr>'6. BuildOut Plant Proforma'!Print_Area</vt:lpstr>
      <vt:lpstr>'7. GoldenValley Pipeline Profor'!Print_Area</vt:lpstr>
      <vt:lpstr>'8. Griffith Plant Proforma'!Print_Area</vt:lpstr>
      <vt:lpstr>'9  Manual Entries'!Print_Area</vt:lpstr>
      <vt:lpstr>'Lead Schedule'!Print_Area</vt:lpstr>
      <vt:lpstr>'Pro Forma'!Print_Area</vt:lpstr>
      <vt:lpstr>'1. BI Page 204-207'!Print_Titles</vt:lpstr>
      <vt:lpstr>'2. UNS 106 Proforma Adj Query'!Print_Titles</vt:lpstr>
      <vt:lpstr>'4. Depreciation Actuals Detai 1'!Print_Titles</vt:lpstr>
      <vt:lpstr>'4. New Depr Rates'!Print_Titles</vt:lpstr>
      <vt:lpstr>'9  Manual Entries'!Print_Titles</vt:lpstr>
      <vt:lpstr>'Lead Schedule'!Print_Titles</vt:lpstr>
    </vt:vector>
  </TitlesOfParts>
  <Company>UNS Energy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Cada, David</dc:creator>
  <cp:lastModifiedBy>Jacobo, Andrea</cp:lastModifiedBy>
  <cp:lastPrinted>2026-08-07T21:38:29Z</cp:lastPrinted>
  <dcterms:created xsi:type="dcterms:W3CDTF">2019-01-22T18:28:12Z</dcterms:created>
  <dcterms:modified xsi:type="dcterms:W3CDTF">2026-09-01T20:31:10Z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